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r-v2profile-01\rds-personalfiles\e_meikle\Documents\"/>
    </mc:Choice>
  </mc:AlternateContent>
  <bookViews>
    <workbookView xWindow="0" yWindow="0" windowWidth="15360" windowHeight="6600" activeTab="1"/>
  </bookViews>
  <sheets>
    <sheet name="Introduction" sheetId="3" r:id="rId1"/>
    <sheet name="Inputs" sheetId="1" r:id="rId2"/>
    <sheet name="Cash Flow"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8" i="2" l="1"/>
  <c r="E29" i="2"/>
  <c r="D29" i="2"/>
  <c r="C29" i="2"/>
  <c r="C24" i="2" l="1"/>
  <c r="C27" i="2"/>
  <c r="D27" i="2"/>
  <c r="E27" i="2"/>
  <c r="E36" i="2"/>
  <c r="B49" i="2" l="1"/>
  <c r="E39" i="2" l="1"/>
  <c r="D39" i="2"/>
  <c r="C39" i="2"/>
  <c r="E28" i="2"/>
  <c r="D28" i="2"/>
  <c r="C28" i="2"/>
  <c r="C59" i="2" l="1"/>
  <c r="C40" i="2" s="1"/>
  <c r="E68" i="1"/>
  <c r="E67" i="1"/>
  <c r="E66" i="1"/>
  <c r="E65" i="1"/>
  <c r="F65" i="1" s="1"/>
  <c r="E64" i="1"/>
  <c r="F64" i="1" s="1"/>
  <c r="E63" i="1"/>
  <c r="F63" i="1" s="1"/>
  <c r="E62" i="1"/>
  <c r="F62" i="1" s="1"/>
  <c r="E61" i="1"/>
  <c r="F61" i="1" s="1"/>
  <c r="E60" i="1"/>
  <c r="F60" i="1" s="1"/>
  <c r="E59" i="1"/>
  <c r="F59" i="1" s="1"/>
  <c r="E58" i="1"/>
  <c r="F58" i="1" s="1"/>
  <c r="E57" i="1"/>
  <c r="F57" i="1" s="1"/>
  <c r="E56" i="1"/>
  <c r="F56" i="1" s="1"/>
  <c r="E55" i="1"/>
  <c r="F55" i="1" s="1"/>
  <c r="E54" i="1"/>
  <c r="F54" i="1" s="1"/>
  <c r="E53" i="1"/>
  <c r="F53" i="1" s="1"/>
  <c r="E52" i="1"/>
  <c r="E51" i="1"/>
  <c r="F51" i="1" s="1"/>
  <c r="E50" i="1"/>
  <c r="F50" i="1" s="1"/>
  <c r="E49" i="1"/>
  <c r="F49" i="1" s="1"/>
  <c r="E48" i="1"/>
  <c r="F48" i="1" s="1"/>
  <c r="E47" i="1"/>
  <c r="F47" i="1" s="1"/>
  <c r="E46" i="1"/>
  <c r="F46" i="1" s="1"/>
  <c r="C97" i="1"/>
  <c r="C98" i="1"/>
  <c r="C99" i="1" s="1"/>
  <c r="C62" i="2" s="1"/>
  <c r="D62" i="2" s="1"/>
  <c r="E62" i="2" s="1"/>
  <c r="F62" i="2" s="1"/>
  <c r="G62" i="2" s="1"/>
  <c r="H62" i="2" s="1"/>
  <c r="I62" i="2" s="1"/>
  <c r="J62" i="2" s="1"/>
  <c r="K62" i="2" s="1"/>
  <c r="L62" i="2" s="1"/>
  <c r="M62" i="2" s="1"/>
  <c r="N62" i="2" s="1"/>
  <c r="O62" i="2" s="1"/>
  <c r="F38" i="2"/>
  <c r="G38" i="2" s="1"/>
  <c r="H38" i="2" s="1"/>
  <c r="I38" i="2" s="1"/>
  <c r="J38" i="2" s="1"/>
  <c r="K38" i="2" s="1"/>
  <c r="L38" i="2" s="1"/>
  <c r="M38" i="2" s="1"/>
  <c r="N38" i="2" s="1"/>
  <c r="F37" i="2"/>
  <c r="G37" i="2" s="1"/>
  <c r="H37" i="2" s="1"/>
  <c r="I37" i="2" s="1"/>
  <c r="J37" i="2" s="1"/>
  <c r="K37" i="2" s="1"/>
  <c r="L37" i="2" s="1"/>
  <c r="M37" i="2" s="1"/>
  <c r="N37" i="2" s="1"/>
  <c r="F36" i="2"/>
  <c r="G36" i="2" s="1"/>
  <c r="H36" i="2" s="1"/>
  <c r="I36" i="2" s="1"/>
  <c r="J36" i="2" s="1"/>
  <c r="K36" i="2" s="1"/>
  <c r="L36" i="2" s="1"/>
  <c r="M36" i="2" s="1"/>
  <c r="N36" i="2" s="1"/>
  <c r="F34" i="2"/>
  <c r="F27" i="2"/>
  <c r="F57" i="2" s="1"/>
  <c r="C69" i="1"/>
  <c r="D35" i="2" s="1"/>
  <c r="E43" i="2"/>
  <c r="F43" i="2" s="1"/>
  <c r="G43" i="2" s="1"/>
  <c r="H43" i="2" s="1"/>
  <c r="I43" i="2" s="1"/>
  <c r="J43" i="2" s="1"/>
  <c r="K43" i="2" s="1"/>
  <c r="L43" i="2" s="1"/>
  <c r="M43" i="2" s="1"/>
  <c r="N43" i="2" s="1"/>
  <c r="D43" i="2"/>
  <c r="C43" i="2"/>
  <c r="E42" i="2"/>
  <c r="E38" i="2"/>
  <c r="E37" i="2"/>
  <c r="E34" i="2"/>
  <c r="D34" i="2"/>
  <c r="C34" i="2"/>
  <c r="D36" i="2"/>
  <c r="C36" i="2"/>
  <c r="C126" i="1"/>
  <c r="C132" i="1" s="1"/>
  <c r="E57" i="2"/>
  <c r="C57" i="2"/>
  <c r="C56" i="2"/>
  <c r="C152" i="1"/>
  <c r="C158" i="1" s="1"/>
  <c r="C160" i="1" s="1"/>
  <c r="C116" i="1"/>
  <c r="C137" i="1"/>
  <c r="F68" i="1"/>
  <c r="F67" i="1"/>
  <c r="F66" i="1"/>
  <c r="F52" i="1"/>
  <c r="E45" i="1"/>
  <c r="F45" i="1" s="1"/>
  <c r="E44" i="1"/>
  <c r="E43" i="1"/>
  <c r="F43" i="1" s="1"/>
  <c r="C20" i="1"/>
  <c r="D20" i="1" s="1"/>
  <c r="E20" i="1" s="1"/>
  <c r="G116" i="1" s="1"/>
  <c r="G34" i="2" l="1"/>
  <c r="F58" i="2"/>
  <c r="E58" i="2"/>
  <c r="C139" i="1"/>
  <c r="D37" i="2"/>
  <c r="F31" i="2"/>
  <c r="E35" i="2"/>
  <c r="F35" i="2" s="1"/>
  <c r="C35" i="2"/>
  <c r="C23" i="2"/>
  <c r="G27" i="2"/>
  <c r="D57" i="2"/>
  <c r="C31" i="2"/>
  <c r="E116" i="1"/>
  <c r="F116" i="1"/>
  <c r="E41" i="1"/>
  <c r="E69" i="1"/>
  <c r="F44" i="1"/>
  <c r="F69" i="1" s="1"/>
  <c r="H34" i="2" l="1"/>
  <c r="G58" i="2"/>
  <c r="D23" i="2"/>
  <c r="C48" i="2"/>
  <c r="B48" i="2" s="1"/>
  <c r="C55" i="2"/>
  <c r="D55" i="2" s="1"/>
  <c r="E55" i="2" s="1"/>
  <c r="F55" i="2" s="1"/>
  <c r="G55" i="2" s="1"/>
  <c r="H55" i="2" s="1"/>
  <c r="I55" i="2" s="1"/>
  <c r="J55" i="2" s="1"/>
  <c r="K55" i="2" s="1"/>
  <c r="L55" i="2" s="1"/>
  <c r="M55" i="2" s="1"/>
  <c r="N55" i="2" s="1"/>
  <c r="G35" i="2"/>
  <c r="H35" i="2" s="1"/>
  <c r="I35" i="2" s="1"/>
  <c r="J35" i="2" s="1"/>
  <c r="K35" i="2" s="1"/>
  <c r="L35" i="2" s="1"/>
  <c r="M35" i="2" s="1"/>
  <c r="N35" i="2" s="1"/>
  <c r="D42" i="2"/>
  <c r="D38" i="2"/>
  <c r="C37" i="2"/>
  <c r="E30" i="2"/>
  <c r="E31" i="2" s="1"/>
  <c r="D30" i="2"/>
  <c r="D31" i="2" s="1"/>
  <c r="G57" i="2"/>
  <c r="H27" i="2"/>
  <c r="G31" i="2"/>
  <c r="D58" i="2" l="1"/>
  <c r="I34" i="2"/>
  <c r="H58" i="2"/>
  <c r="E23" i="2"/>
  <c r="D48" i="2"/>
  <c r="C42" i="2"/>
  <c r="C38" i="2"/>
  <c r="H57" i="2"/>
  <c r="H31" i="2"/>
  <c r="I27" i="2"/>
  <c r="C58" i="2" l="1"/>
  <c r="J34" i="2"/>
  <c r="I58" i="2"/>
  <c r="F23" i="2"/>
  <c r="E48" i="2"/>
  <c r="C44" i="2"/>
  <c r="C46" i="2" s="1"/>
  <c r="D24" i="2" s="1"/>
  <c r="I31" i="2"/>
  <c r="J27" i="2"/>
  <c r="I57" i="2"/>
  <c r="C49" i="2" l="1"/>
  <c r="K34" i="2"/>
  <c r="J58" i="2"/>
  <c r="C60" i="2"/>
  <c r="D56" i="2" s="1"/>
  <c r="D59" i="2"/>
  <c r="G23" i="2"/>
  <c r="F48" i="2"/>
  <c r="J31" i="2"/>
  <c r="J57" i="2"/>
  <c r="K27" i="2"/>
  <c r="L34" i="2" l="1"/>
  <c r="K58" i="2"/>
  <c r="D40" i="2"/>
  <c r="H23" i="2"/>
  <c r="G48" i="2"/>
  <c r="K31" i="2"/>
  <c r="L27" i="2"/>
  <c r="K57" i="2"/>
  <c r="M34" i="2" l="1"/>
  <c r="L58" i="2"/>
  <c r="D44" i="2"/>
  <c r="D46" i="2" s="1"/>
  <c r="E24" i="2" s="1"/>
  <c r="I23" i="2"/>
  <c r="H48" i="2"/>
  <c r="L31" i="2"/>
  <c r="M27" i="2"/>
  <c r="L57" i="2"/>
  <c r="D49" i="2" l="1"/>
  <c r="N34" i="2"/>
  <c r="N58" i="2" s="1"/>
  <c r="M58" i="2"/>
  <c r="E59" i="2"/>
  <c r="N41" i="2" s="1"/>
  <c r="D60" i="2"/>
  <c r="E56" i="2" s="1"/>
  <c r="J23" i="2"/>
  <c r="I48" i="2"/>
  <c r="M31" i="2"/>
  <c r="M57" i="2"/>
  <c r="N27" i="2"/>
  <c r="E40" i="2" l="1"/>
  <c r="K23" i="2"/>
  <c r="J48" i="2"/>
  <c r="N57" i="2"/>
  <c r="N31" i="2"/>
  <c r="E44" i="2" l="1"/>
  <c r="E46" i="2" s="1"/>
  <c r="L23" i="2"/>
  <c r="K48" i="2"/>
  <c r="F24" i="2" l="1"/>
  <c r="E49" i="2"/>
  <c r="F59" i="2"/>
  <c r="F40" i="2" s="1"/>
  <c r="E60" i="2"/>
  <c r="F56" i="2" s="1"/>
  <c r="M23" i="2"/>
  <c r="L48" i="2"/>
  <c r="G59" i="2" l="1"/>
  <c r="G40" i="2" s="1"/>
  <c r="F44" i="2"/>
  <c r="F46" i="2" s="1"/>
  <c r="N23" i="2"/>
  <c r="M48" i="2"/>
  <c r="G24" i="2" l="1"/>
  <c r="F49" i="2"/>
  <c r="G44" i="2"/>
  <c r="H59" i="2"/>
  <c r="H40" i="2" s="1"/>
  <c r="F60" i="2"/>
  <c r="G56" i="2" s="1"/>
  <c r="G46" i="2" l="1"/>
  <c r="G60" i="2"/>
  <c r="H56" i="2" s="1"/>
  <c r="I59" i="2" s="1"/>
  <c r="I40" i="2" s="1"/>
  <c r="H44" i="2"/>
  <c r="G49" i="2" l="1"/>
  <c r="H24" i="2"/>
  <c r="H46" i="2" s="1"/>
  <c r="I44" i="2"/>
  <c r="H60" i="2"/>
  <c r="I56" i="2" s="1"/>
  <c r="J59" i="2" s="1"/>
  <c r="J40" i="2" s="1"/>
  <c r="I24" i="2" l="1"/>
  <c r="I46" i="2" s="1"/>
  <c r="H49" i="2"/>
  <c r="I60" i="2"/>
  <c r="J56" i="2" s="1"/>
  <c r="K59" i="2"/>
  <c r="K40" i="2" s="1"/>
  <c r="J44" i="2"/>
  <c r="J24" i="2" l="1"/>
  <c r="J46" i="2" s="1"/>
  <c r="I49" i="2"/>
  <c r="K44" i="2"/>
  <c r="J60" i="2"/>
  <c r="K56" i="2" s="1"/>
  <c r="K24" i="2" l="1"/>
  <c r="K46" i="2" s="1"/>
  <c r="J49" i="2"/>
  <c r="L59" i="2"/>
  <c r="L40" i="2" s="1"/>
  <c r="K60" i="2"/>
  <c r="L56" i="2" s="1"/>
  <c r="L24" i="2" l="1"/>
  <c r="K49" i="2"/>
  <c r="M59" i="2"/>
  <c r="M40" i="2" s="1"/>
  <c r="L44" i="2"/>
  <c r="L46" i="2" l="1"/>
  <c r="M44" i="2"/>
  <c r="N59" i="2"/>
  <c r="N40" i="2" s="1"/>
  <c r="L60" i="2"/>
  <c r="M56" i="2" s="1"/>
  <c r="M24" i="2" l="1"/>
  <c r="M46" i="2" s="1"/>
  <c r="L49" i="2"/>
  <c r="M60" i="2"/>
  <c r="N56" i="2" s="1"/>
  <c r="N44" i="2"/>
  <c r="N24" i="2" l="1"/>
  <c r="N46" i="2" s="1"/>
  <c r="C51" i="2" s="1"/>
  <c r="C52" i="2" s="1"/>
  <c r="M49" i="2"/>
  <c r="N60" i="2"/>
  <c r="N49" i="2" l="1"/>
</calcChain>
</file>

<file path=xl/sharedStrings.xml><?xml version="1.0" encoding="utf-8"?>
<sst xmlns="http://schemas.openxmlformats.org/spreadsheetml/2006/main" count="132" uniqueCount="116">
  <si>
    <t>Payments for administration costs (excluding salaries)</t>
  </si>
  <si>
    <t>Payments for marketing costs</t>
  </si>
  <si>
    <t>Payments for other costs</t>
  </si>
  <si>
    <t>Loan Repayment</t>
  </si>
  <si>
    <t>Model start date</t>
  </si>
  <si>
    <t>Payments for fixed asset purchases</t>
  </si>
  <si>
    <t>Description</t>
  </si>
  <si>
    <t>Monthly Gross Pay</t>
  </si>
  <si>
    <t>Furloghed?</t>
  </si>
  <si>
    <t>Covered under 80% Scheme</t>
  </si>
  <si>
    <t>Paid by Employer</t>
  </si>
  <si>
    <t>Staff Name 1</t>
  </si>
  <si>
    <t>YES</t>
  </si>
  <si>
    <t>Staff Name 2</t>
  </si>
  <si>
    <t>NO</t>
  </si>
  <si>
    <t>Staff Name 3</t>
  </si>
  <si>
    <t>Staff Name 4</t>
  </si>
  <si>
    <t>Staff Name 5</t>
  </si>
  <si>
    <t>Staff Name 6</t>
  </si>
  <si>
    <t>Staff Name 7</t>
  </si>
  <si>
    <t>Staff Name 8</t>
  </si>
  <si>
    <t>Staff Name 9</t>
  </si>
  <si>
    <t>Staff Name 10</t>
  </si>
  <si>
    <t>Staff Name 11</t>
  </si>
  <si>
    <t>Staff Name 12</t>
  </si>
  <si>
    <t>Staff Name 13</t>
  </si>
  <si>
    <t>Staff Name 14</t>
  </si>
  <si>
    <t>Staff Name 15</t>
  </si>
  <si>
    <t>Staff Name 16</t>
  </si>
  <si>
    <t>Staff Name 17</t>
  </si>
  <si>
    <t>Staff Name 18</t>
  </si>
  <si>
    <t>Staff Name 19</t>
  </si>
  <si>
    <t>Staff Name 20</t>
  </si>
  <si>
    <t>Staff Name 21</t>
  </si>
  <si>
    <t>Staff Name 22</t>
  </si>
  <si>
    <t>Staff Name 23</t>
  </si>
  <si>
    <t>Staff Name 24</t>
  </si>
  <si>
    <t>Staff Name 25</t>
  </si>
  <si>
    <t>Total</t>
  </si>
  <si>
    <t>B</t>
  </si>
  <si>
    <t>A</t>
  </si>
  <si>
    <t>SALARIES</t>
  </si>
  <si>
    <t>Onwards</t>
  </si>
  <si>
    <t>OPENING BALANCE SHEET</t>
  </si>
  <si>
    <t>C</t>
  </si>
  <si>
    <t>Working Capital</t>
  </si>
  <si>
    <t>Debtors</t>
  </si>
  <si>
    <t>Other assets</t>
  </si>
  <si>
    <t>Creditors</t>
  </si>
  <si>
    <t>CT payable</t>
  </si>
  <si>
    <t>VAT payable</t>
  </si>
  <si>
    <t>Other liabilities</t>
  </si>
  <si>
    <t>Cash and bank</t>
  </si>
  <si>
    <t>Debt</t>
  </si>
  <si>
    <t>Net Assets</t>
  </si>
  <si>
    <t>Financed By</t>
  </si>
  <si>
    <t>Share Capital</t>
  </si>
  <si>
    <t>Retained Profit/(Loss)</t>
  </si>
  <si>
    <t>Fixed assets</t>
  </si>
  <si>
    <t>Receipts from customers</t>
  </si>
  <si>
    <t>TRADING THROUGH COVID-19 DISRUPTION</t>
  </si>
  <si>
    <t>D</t>
  </si>
  <si>
    <t>TRADING AFTER COVID-19 DISRUPTION</t>
  </si>
  <si>
    <t>Cost of sales</t>
  </si>
  <si>
    <t>Gross Profit</t>
  </si>
  <si>
    <t>Administration</t>
  </si>
  <si>
    <t>Marketing</t>
  </si>
  <si>
    <t>Other Costs</t>
  </si>
  <si>
    <t>Depreciation</t>
  </si>
  <si>
    <t>Operating profits</t>
  </si>
  <si>
    <t>Year 1</t>
  </si>
  <si>
    <t>Salaries &amp; Wages</t>
  </si>
  <si>
    <t>Cost of sales (excluding wages)</t>
  </si>
  <si>
    <t>Profit before tax</t>
  </si>
  <si>
    <t>Interest expenses</t>
  </si>
  <si>
    <t>Opening Bank Balance</t>
  </si>
  <si>
    <t>Receipts</t>
  </si>
  <si>
    <t>Sales</t>
  </si>
  <si>
    <t>Coronavirus Job Retention Scheme</t>
  </si>
  <si>
    <t>Payments</t>
  </si>
  <si>
    <t>Marketing costs</t>
  </si>
  <si>
    <t>Other costs</t>
  </si>
  <si>
    <t>Fixed asset purchases</t>
  </si>
  <si>
    <t>Administration costs</t>
  </si>
  <si>
    <t>Salary costs</t>
  </si>
  <si>
    <t>VAT</t>
  </si>
  <si>
    <t>VAT on sales</t>
  </si>
  <si>
    <t>Total Receipts</t>
  </si>
  <si>
    <t>Total Payments</t>
  </si>
  <si>
    <t>CHECK</t>
  </si>
  <si>
    <t>VAT on expenses</t>
  </si>
  <si>
    <t>Closing balance</t>
  </si>
  <si>
    <t>Opening balance</t>
  </si>
  <si>
    <t>Closing Balance</t>
  </si>
  <si>
    <t>VAT normal payment</t>
  </si>
  <si>
    <t>E</t>
  </si>
  <si>
    <t>VAT payment interval (in months)</t>
  </si>
  <si>
    <t>VAT INTERVAL</t>
  </si>
  <si>
    <t>Quarterly</t>
  </si>
  <si>
    <t>Monthly</t>
  </si>
  <si>
    <t>VAT due month number</t>
  </si>
  <si>
    <t>Model start date month number</t>
  </si>
  <si>
    <t>Starting cycle</t>
  </si>
  <si>
    <t>First VAT Payment date</t>
  </si>
  <si>
    <t>Payments to suppliers</t>
  </si>
  <si>
    <t>First VAT Payment amount (If payable in Month 1)</t>
  </si>
  <si>
    <t>Deferred VAT payment</t>
  </si>
  <si>
    <t>Peak Funding Month</t>
  </si>
  <si>
    <t>Peak Funding Requirement</t>
  </si>
  <si>
    <t>Debtors opening balance</t>
  </si>
  <si>
    <t>Creditors opening balance</t>
  </si>
  <si>
    <t>Cash Flow</t>
  </si>
  <si>
    <t>VAT payment/(refund)</t>
  </si>
  <si>
    <t>If refund is due enter negative amount.</t>
  </si>
  <si>
    <t>Receipts from Small Business Grant Scheme</t>
  </si>
  <si>
    <t>Small Business Grant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</si>
</sst>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409]mmm\-yy;@"/>
    <numFmt numFmtId="165" formatCode="_(* #,##0_);_(* \(#,##0\);_(* &quot;-&quot;??_);_(@_)"/>
    <numFmt numFmtId="166" formatCode="&quot;FY&quot;#"/>
    <numFmt numFmtId="167" formatCode="dd/mm/yy;@"/>
    <numFmt numFmtId="168" formatCode="#,##0;\(#,##0\)"/>
    <numFmt numFmtId="169" formatCode="_-* #,##0_-;\-* #,##0_-;_-* &quot;-&quot;??_-;_-@_-"/>
  </numFmts>
  <fonts count="8"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8"/>
      <name val="Arial"/>
      <family val="2"/>
    </font>
    <font>
      <b/>
      <sz val="8"/>
      <color theme="0"/>
      <name val="Arial"/>
      <family val="2"/>
    </font>
    <font>
      <b/>
      <sz val="8"/>
      <name val="Arial"/>
      <family val="2"/>
    </font>
    <font>
      <sz val="8"/>
      <color theme="0"/>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rgb="FF3697C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697C1"/>
      </left>
      <right style="hair">
        <color rgb="FF3697C1"/>
      </right>
      <top style="thin">
        <color rgb="FF3697C1"/>
      </top>
      <bottom style="hair">
        <color rgb="FF3697C1"/>
      </bottom>
      <diagonal/>
    </border>
    <border>
      <left style="hair">
        <color rgb="FF3697C1"/>
      </left>
      <right style="hair">
        <color rgb="FF3697C1"/>
      </right>
      <top style="thin">
        <color rgb="FF3697C1"/>
      </top>
      <bottom style="hair">
        <color rgb="FF3697C1"/>
      </bottom>
      <diagonal/>
    </border>
    <border>
      <left style="hair">
        <color rgb="FF3697C1"/>
      </left>
      <right style="thin">
        <color rgb="FF3697C1"/>
      </right>
      <top style="thin">
        <color rgb="FF3697C1"/>
      </top>
      <bottom style="hair">
        <color rgb="FF3697C1"/>
      </bottom>
      <diagonal/>
    </border>
    <border>
      <left style="thin">
        <color rgb="FF3697C1"/>
      </left>
      <right style="hair">
        <color rgb="FF3697C1"/>
      </right>
      <top style="hair">
        <color rgb="FF3697C1"/>
      </top>
      <bottom style="hair">
        <color rgb="FF3697C1"/>
      </bottom>
      <diagonal/>
    </border>
    <border>
      <left style="hair">
        <color rgb="FF3697C1"/>
      </left>
      <right style="hair">
        <color rgb="FF3697C1"/>
      </right>
      <top style="hair">
        <color rgb="FF3697C1"/>
      </top>
      <bottom style="hair">
        <color rgb="FF3697C1"/>
      </bottom>
      <diagonal/>
    </border>
    <border>
      <left style="hair">
        <color rgb="FF3697C1"/>
      </left>
      <right style="thin">
        <color rgb="FF3697C1"/>
      </right>
      <top style="hair">
        <color rgb="FF3697C1"/>
      </top>
      <bottom style="hair">
        <color rgb="FF3697C1"/>
      </bottom>
      <diagonal/>
    </border>
    <border>
      <left style="thin">
        <color rgb="FF3697C1"/>
      </left>
      <right style="hair">
        <color rgb="FF3697C1"/>
      </right>
      <top style="hair">
        <color rgb="FF3697C1"/>
      </top>
      <bottom style="medium">
        <color rgb="FF3697C1"/>
      </bottom>
      <diagonal/>
    </border>
    <border>
      <left style="hair">
        <color rgb="FF3697C1"/>
      </left>
      <right style="hair">
        <color rgb="FF3697C1"/>
      </right>
      <top style="hair">
        <color rgb="FF3697C1"/>
      </top>
      <bottom/>
      <diagonal/>
    </border>
    <border>
      <left style="hair">
        <color rgb="FF3697C1"/>
      </left>
      <right style="thin">
        <color rgb="FF3697C1"/>
      </right>
      <top style="hair">
        <color rgb="FF3697C1"/>
      </top>
      <bottom/>
      <diagonal/>
    </border>
    <border>
      <left style="hair">
        <color rgb="FF3697C1"/>
      </left>
      <right style="thin">
        <color rgb="FF3697C1"/>
      </right>
      <top style="thin">
        <color rgb="FF3697C1"/>
      </top>
      <bottom style="medium">
        <color rgb="FF3697C1"/>
      </bottom>
      <diagonal/>
    </border>
    <border>
      <left style="hair">
        <color rgb="FF3697C1"/>
      </left>
      <right style="hair">
        <color rgb="FF3697C1"/>
      </right>
      <top style="thin">
        <color rgb="FF3697C1"/>
      </top>
      <bottom style="medium">
        <color rgb="FF3697C1"/>
      </bottom>
      <diagonal/>
    </border>
    <border>
      <left style="medium">
        <color rgb="FF3697C1"/>
      </left>
      <right/>
      <top style="medium">
        <color rgb="FF3697C1"/>
      </top>
      <bottom/>
      <diagonal/>
    </border>
    <border>
      <left/>
      <right style="medium">
        <color rgb="FF3697C1"/>
      </right>
      <top style="medium">
        <color rgb="FF3697C1"/>
      </top>
      <bottom/>
      <diagonal/>
    </border>
    <border>
      <left style="medium">
        <color rgb="FF3697C1"/>
      </left>
      <right/>
      <top/>
      <bottom style="medium">
        <color rgb="FF3697C1"/>
      </bottom>
      <diagonal/>
    </border>
    <border>
      <left/>
      <right style="medium">
        <color rgb="FF3697C1"/>
      </right>
      <top/>
      <bottom style="medium">
        <color rgb="FF3697C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1" xfId="0" applyFont="1" applyBorder="1" applyProtection="1">
      <protection hidden="1"/>
    </xf>
    <xf numFmtId="164" fontId="3" fillId="0" borderId="1" xfId="0" applyNumberFormat="1" applyFont="1" applyBorder="1" applyAlignment="1" applyProtection="1">
      <alignment horizontal="center"/>
      <protection hidden="1"/>
    </xf>
    <xf numFmtId="0" fontId="2" fillId="0" borderId="0" xfId="0" applyFont="1" applyProtection="1">
      <protection hidden="1"/>
    </xf>
    <xf numFmtId="166" fontId="2" fillId="0" borderId="0" xfId="0" applyNumberFormat="1" applyFont="1" applyProtection="1">
      <protection hidden="1"/>
    </xf>
    <xf numFmtId="0" fontId="3" fillId="0" borderId="2" xfId="0" applyFont="1" applyBorder="1" applyAlignment="1" applyProtection="1">
      <protection hidden="1"/>
    </xf>
    <xf numFmtId="164" fontId="3" fillId="0" borderId="1" xfId="0" applyNumberFormat="1" applyFont="1" applyBorder="1" applyAlignment="1" applyProtection="1">
      <alignment horizontal="center" wrapText="1"/>
      <protection hidden="1"/>
    </xf>
    <xf numFmtId="0" fontId="3" fillId="0" borderId="1" xfId="0" applyFont="1" applyBorder="1" applyAlignment="1" applyProtection="1">
      <alignment horizontal="right" wrapText="1"/>
      <protection hidden="1"/>
    </xf>
    <xf numFmtId="165" fontId="2" fillId="0" borderId="1" xfId="0" applyNumberFormat="1" applyFont="1" applyBorder="1" applyProtection="1">
      <protection hidden="1"/>
    </xf>
    <xf numFmtId="0" fontId="3" fillId="0" borderId="2" xfId="0" applyFont="1" applyFill="1" applyBorder="1" applyAlignment="1" applyProtection="1">
      <protection hidden="1"/>
    </xf>
    <xf numFmtId="165" fontId="3" fillId="0" borderId="1" xfId="1" applyNumberFormat="1" applyFont="1" applyFill="1" applyBorder="1" applyAlignment="1" applyProtection="1">
      <alignment horizontal="center"/>
      <protection hidden="1"/>
    </xf>
    <xf numFmtId="0" fontId="5" fillId="3" borderId="0" xfId="0" applyFont="1" applyFill="1" applyAlignment="1" applyProtection="1">
      <alignment horizontal="center"/>
      <protection hidden="1"/>
    </xf>
    <xf numFmtId="0" fontId="5" fillId="3" borderId="0" xfId="0" applyFont="1" applyFill="1" applyProtection="1">
      <protection hidden="1"/>
    </xf>
    <xf numFmtId="164" fontId="3" fillId="0" borderId="2" xfId="0" applyNumberFormat="1" applyFont="1" applyBorder="1" applyAlignment="1" applyProtection="1">
      <alignment horizontal="right"/>
      <protection hidden="1"/>
    </xf>
    <xf numFmtId="166" fontId="3" fillId="0" borderId="3" xfId="0" applyNumberFormat="1" applyFont="1" applyBorder="1" applyProtection="1">
      <protection hidden="1"/>
    </xf>
    <xf numFmtId="0" fontId="6" fillId="0" borderId="1" xfId="0" applyFont="1" applyBorder="1" applyAlignment="1" applyProtection="1">
      <alignment horizontal="left"/>
      <protection hidden="1"/>
    </xf>
    <xf numFmtId="167" fontId="6" fillId="0" borderId="1" xfId="0" applyNumberFormat="1" applyFont="1" applyBorder="1" applyAlignment="1" applyProtection="1">
      <alignment horizontal="right"/>
      <protection hidden="1"/>
    </xf>
    <xf numFmtId="0" fontId="4" fillId="0" borderId="1" xfId="0" applyFont="1" applyBorder="1" applyAlignment="1" applyProtection="1">
      <alignment horizontal="left"/>
      <protection hidden="1"/>
    </xf>
    <xf numFmtId="165" fontId="4" fillId="0" borderId="1" xfId="1" applyNumberFormat="1" applyFont="1" applyBorder="1" applyAlignment="1" applyProtection="1">
      <alignment horizontal="left"/>
      <protection hidden="1"/>
    </xf>
    <xf numFmtId="165" fontId="6" fillId="0" borderId="1" xfId="1" applyNumberFormat="1" applyFont="1" applyBorder="1" applyAlignment="1" applyProtection="1">
      <alignment horizontal="left"/>
      <protection hidden="1"/>
    </xf>
    <xf numFmtId="165" fontId="6" fillId="0" borderId="1" xfId="1" applyNumberFormat="1" applyFont="1" applyBorder="1" applyProtection="1">
      <protection hidden="1"/>
    </xf>
    <xf numFmtId="165" fontId="4" fillId="0" borderId="1" xfId="1" applyNumberFormat="1" applyFont="1" applyBorder="1" applyProtection="1">
      <protection hidden="1"/>
    </xf>
    <xf numFmtId="164" fontId="3" fillId="0" borderId="1" xfId="0" applyNumberFormat="1" applyFont="1" applyBorder="1" applyAlignment="1" applyProtection="1">
      <alignment horizontal="right"/>
      <protection hidden="1"/>
    </xf>
    <xf numFmtId="0" fontId="2" fillId="0" borderId="0" xfId="0" applyFont="1" applyFill="1" applyProtection="1">
      <protection hidden="1"/>
    </xf>
    <xf numFmtId="168" fontId="2" fillId="0" borderId="1" xfId="1" applyNumberFormat="1" applyFont="1" applyBorder="1" applyProtection="1">
      <protection hidden="1"/>
    </xf>
    <xf numFmtId="164" fontId="5" fillId="4" borderId="5" xfId="0" applyNumberFormat="1" applyFont="1" applyFill="1" applyBorder="1" applyAlignment="1" applyProtection="1">
      <alignment horizontal="right" vertical="center"/>
      <protection hidden="1"/>
    </xf>
    <xf numFmtId="164" fontId="5" fillId="4" borderId="6" xfId="0" applyNumberFormat="1" applyFont="1" applyFill="1" applyBorder="1" applyAlignment="1" applyProtection="1">
      <alignment horizontal="right" vertical="center"/>
      <protection hidden="1"/>
    </xf>
    <xf numFmtId="0" fontId="2" fillId="0" borderId="0" xfId="0" applyFont="1" applyProtection="1">
      <protection locked="0"/>
    </xf>
    <xf numFmtId="0" fontId="2" fillId="3" borderId="0" xfId="0" applyFont="1" applyFill="1" applyProtection="1">
      <protection hidden="1"/>
    </xf>
    <xf numFmtId="165" fontId="2" fillId="0" borderId="1" xfId="1" applyNumberFormat="1" applyFont="1" applyFill="1" applyBorder="1" applyProtection="1">
      <protection hidden="1"/>
    </xf>
    <xf numFmtId="165" fontId="2" fillId="0" borderId="0" xfId="0" applyNumberFormat="1" applyFont="1" applyProtection="1">
      <protection hidden="1"/>
    </xf>
    <xf numFmtId="165" fontId="2" fillId="0" borderId="1" xfId="1" applyNumberFormat="1" applyFont="1" applyFill="1" applyBorder="1" applyAlignment="1" applyProtection="1">
      <alignment horizontal="center"/>
      <protection hidden="1"/>
    </xf>
    <xf numFmtId="168" fontId="2" fillId="0" borderId="0" xfId="1" applyNumberFormat="1" applyFont="1" applyFill="1" applyBorder="1" applyProtection="1">
      <protection hidden="1"/>
    </xf>
    <xf numFmtId="164" fontId="3" fillId="0" borderId="1" xfId="0" applyNumberFormat="1" applyFont="1" applyBorder="1" applyProtection="1">
      <protection hidden="1"/>
    </xf>
    <xf numFmtId="0" fontId="2" fillId="0" borderId="0" xfId="0" applyFont="1" applyBorder="1" applyProtection="1">
      <protection hidden="1"/>
    </xf>
    <xf numFmtId="165" fontId="4" fillId="0" borderId="1" xfId="1" applyNumberFormat="1" applyFont="1" applyFill="1" applyBorder="1" applyAlignment="1" applyProtection="1">
      <alignment horizontal="left"/>
      <protection hidden="1"/>
    </xf>
    <xf numFmtId="43" fontId="2" fillId="0" borderId="0" xfId="0" applyNumberFormat="1" applyFont="1" applyProtection="1">
      <protection hidden="1"/>
    </xf>
    <xf numFmtId="0" fontId="3" fillId="0" borderId="1" xfId="0" applyFont="1" applyBorder="1" applyProtection="1">
      <protection hidden="1"/>
    </xf>
    <xf numFmtId="0" fontId="3" fillId="0" borderId="1" xfId="0" applyFont="1" applyBorder="1" applyAlignment="1" applyProtection="1">
      <alignment horizontal="right"/>
      <protection hidden="1"/>
    </xf>
    <xf numFmtId="0" fontId="3" fillId="0" borderId="0" xfId="0" applyFont="1" applyProtection="1">
      <protection hidden="1"/>
    </xf>
    <xf numFmtId="165" fontId="3" fillId="0" borderId="1" xfId="0" applyNumberFormat="1" applyFont="1" applyBorder="1" applyProtection="1">
      <protection hidden="1"/>
    </xf>
    <xf numFmtId="165" fontId="6" fillId="0" borderId="1" xfId="1" applyNumberFormat="1" applyFont="1" applyFill="1" applyBorder="1" applyAlignment="1" applyProtection="1">
      <alignment horizontal="left"/>
      <protection hidden="1"/>
    </xf>
    <xf numFmtId="15" fontId="3" fillId="2" borderId="0" xfId="0" applyNumberFormat="1" applyFont="1" applyFill="1" applyProtection="1">
      <protection locked="0" hidden="1"/>
    </xf>
    <xf numFmtId="165" fontId="2" fillId="2" borderId="1" xfId="1" applyNumberFormat="1" applyFont="1" applyFill="1" applyBorder="1" applyProtection="1">
      <protection locked="0" hidden="1"/>
    </xf>
    <xf numFmtId="0" fontId="2" fillId="2" borderId="2" xfId="0" applyFont="1" applyFill="1" applyBorder="1" applyAlignment="1" applyProtection="1">
      <protection locked="0" hidden="1"/>
    </xf>
    <xf numFmtId="165" fontId="2" fillId="2" borderId="1" xfId="1" applyNumberFormat="1" applyFont="1" applyFill="1" applyBorder="1" applyAlignment="1" applyProtection="1">
      <alignment horizontal="center"/>
      <protection locked="0" hidden="1"/>
    </xf>
    <xf numFmtId="166" fontId="2" fillId="2" borderId="1" xfId="0" applyNumberFormat="1" applyFont="1" applyFill="1" applyBorder="1" applyAlignment="1" applyProtection="1">
      <alignment horizontal="center"/>
      <protection locked="0" hidden="1"/>
    </xf>
    <xf numFmtId="165" fontId="2" fillId="2" borderId="1" xfId="1" applyNumberFormat="1" applyFont="1" applyFill="1" applyBorder="1" applyAlignment="1" applyProtection="1">
      <alignment horizontal="right"/>
      <protection locked="0" hidden="1"/>
    </xf>
    <xf numFmtId="15" fontId="2" fillId="2" borderId="1" xfId="0" applyNumberFormat="1" applyFont="1" applyFill="1" applyBorder="1" applyProtection="1">
      <protection locked="0" hidden="1"/>
    </xf>
    <xf numFmtId="168" fontId="2" fillId="2" borderId="1" xfId="1" applyNumberFormat="1" applyFont="1" applyFill="1" applyBorder="1" applyProtection="1">
      <protection locked="0" hidden="1"/>
    </xf>
    <xf numFmtId="165" fontId="4" fillId="2" borderId="1" xfId="1" applyNumberFormat="1" applyFont="1" applyFill="1" applyBorder="1" applyAlignment="1" applyProtection="1">
      <alignment horizontal="left"/>
      <protection locked="0" hidden="1"/>
    </xf>
    <xf numFmtId="165" fontId="4" fillId="2" borderId="1" xfId="1" applyNumberFormat="1" applyFont="1" applyFill="1" applyBorder="1" applyProtection="1">
      <protection locked="0" hidden="1"/>
    </xf>
    <xf numFmtId="0" fontId="7" fillId="4" borderId="4" xfId="0" applyFont="1" applyFill="1" applyBorder="1" applyAlignment="1" applyProtection="1">
      <alignment vertical="center"/>
      <protection hidden="1"/>
    </xf>
    <xf numFmtId="0" fontId="2" fillId="0" borderId="0" xfId="0" applyFont="1" applyAlignment="1" applyProtection="1">
      <alignment vertical="center"/>
      <protection hidden="1"/>
    </xf>
    <xf numFmtId="0" fontId="2" fillId="0" borderId="7" xfId="0" applyFont="1" applyBorder="1" applyProtection="1">
      <protection hidden="1"/>
    </xf>
    <xf numFmtId="168" fontId="2" fillId="5" borderId="8" xfId="1" applyNumberFormat="1" applyFont="1" applyFill="1" applyBorder="1" applyProtection="1">
      <protection hidden="1"/>
    </xf>
    <xf numFmtId="168" fontId="2" fillId="0" borderId="8" xfId="1" applyNumberFormat="1" applyFont="1" applyBorder="1" applyProtection="1">
      <protection hidden="1"/>
    </xf>
    <xf numFmtId="168" fontId="2" fillId="0" borderId="9" xfId="1" applyNumberFormat="1" applyFont="1" applyBorder="1" applyProtection="1">
      <protection hidden="1"/>
    </xf>
    <xf numFmtId="0" fontId="3" fillId="0" borderId="7" xfId="0" applyFont="1" applyBorder="1" applyProtection="1">
      <protection hidden="1"/>
    </xf>
    <xf numFmtId="43" fontId="2" fillId="5" borderId="8" xfId="1" applyFont="1" applyFill="1" applyBorder="1" applyProtection="1">
      <protection hidden="1"/>
    </xf>
    <xf numFmtId="43" fontId="2" fillId="0" borderId="8" xfId="1" applyFont="1" applyBorder="1" applyProtection="1">
      <protection hidden="1"/>
    </xf>
    <xf numFmtId="43" fontId="2" fillId="0" borderId="9" xfId="1" applyFont="1" applyBorder="1" applyProtection="1">
      <protection hidden="1"/>
    </xf>
    <xf numFmtId="43" fontId="2" fillId="5" borderId="11" xfId="1" applyFont="1" applyFill="1" applyBorder="1" applyProtection="1">
      <protection hidden="1"/>
    </xf>
    <xf numFmtId="168" fontId="2" fillId="5" borderId="11" xfId="1" applyNumberFormat="1" applyFont="1" applyFill="1" applyBorder="1" applyProtection="1">
      <protection hidden="1"/>
    </xf>
    <xf numFmtId="43" fontId="2" fillId="0" borderId="11" xfId="1" applyFont="1" applyBorder="1" applyProtection="1">
      <protection hidden="1"/>
    </xf>
    <xf numFmtId="43" fontId="2" fillId="0" borderId="12" xfId="1" applyFont="1" applyBorder="1" applyProtection="1">
      <protection hidden="1"/>
    </xf>
    <xf numFmtId="168" fontId="3" fillId="5" borderId="5" xfId="1" applyNumberFormat="1" applyFont="1" applyFill="1" applyBorder="1" applyProtection="1">
      <protection hidden="1"/>
    </xf>
    <xf numFmtId="168" fontId="3" fillId="0" borderId="5" xfId="1" applyNumberFormat="1" applyFont="1" applyBorder="1" applyProtection="1">
      <protection hidden="1"/>
    </xf>
    <xf numFmtId="168" fontId="3" fillId="0" borderId="6" xfId="1" applyNumberFormat="1" applyFont="1" applyBorder="1" applyProtection="1">
      <protection hidden="1"/>
    </xf>
    <xf numFmtId="168" fontId="2" fillId="0" borderId="11" xfId="1" applyNumberFormat="1" applyFont="1" applyBorder="1" applyProtection="1">
      <protection hidden="1"/>
    </xf>
    <xf numFmtId="168" fontId="2" fillId="0" borderId="12" xfId="1" applyNumberFormat="1" applyFont="1" applyBorder="1" applyProtection="1">
      <protection hidden="1"/>
    </xf>
    <xf numFmtId="0" fontId="3" fillId="0" borderId="10" xfId="0" applyFont="1" applyBorder="1" applyProtection="1">
      <protection hidden="1"/>
    </xf>
    <xf numFmtId="168" fontId="3" fillId="5" borderId="14" xfId="1" applyNumberFormat="1" applyFont="1" applyFill="1" applyBorder="1" applyProtection="1">
      <protection hidden="1"/>
    </xf>
    <xf numFmtId="168" fontId="3" fillId="0" borderId="14" xfId="1" applyNumberFormat="1" applyFont="1" applyBorder="1" applyProtection="1">
      <protection hidden="1"/>
    </xf>
    <xf numFmtId="168" fontId="3" fillId="0" borderId="13" xfId="1" applyNumberFormat="1" applyFont="1" applyBorder="1" applyProtection="1">
      <protection hidden="1"/>
    </xf>
    <xf numFmtId="168" fontId="2" fillId="0" borderId="0" xfId="1" applyNumberFormat="1" applyFont="1" applyProtection="1">
      <protection hidden="1"/>
    </xf>
    <xf numFmtId="0" fontId="2" fillId="0" borderId="15" xfId="0" applyFont="1" applyBorder="1" applyProtection="1">
      <protection hidden="1"/>
    </xf>
    <xf numFmtId="168" fontId="2" fillId="0" borderId="16" xfId="1" applyNumberFormat="1" applyFont="1" applyBorder="1" applyProtection="1">
      <protection hidden="1"/>
    </xf>
    <xf numFmtId="0" fontId="2" fillId="0" borderId="17" xfId="0" applyFont="1" applyBorder="1" applyProtection="1">
      <protection hidden="1"/>
    </xf>
    <xf numFmtId="164" fontId="2" fillId="0" borderId="18" xfId="1" applyNumberFormat="1" applyFont="1" applyBorder="1" applyProtection="1">
      <protection hidden="1"/>
    </xf>
    <xf numFmtId="168" fontId="3" fillId="0" borderId="1" xfId="0" applyNumberFormat="1" applyFont="1" applyBorder="1" applyProtection="1">
      <protection hidden="1"/>
    </xf>
    <xf numFmtId="0" fontId="3" fillId="0" borderId="0" xfId="0" applyFont="1" applyFill="1" applyBorder="1" applyProtection="1">
      <protection hidden="1"/>
    </xf>
    <xf numFmtId="168" fontId="3" fillId="0" borderId="0" xfId="1" applyNumberFormat="1" applyFont="1" applyFill="1" applyBorder="1" applyProtection="1">
      <protection hidden="1"/>
    </xf>
    <xf numFmtId="0" fontId="3" fillId="0" borderId="0" xfId="0" applyFont="1" applyFill="1" applyProtection="1">
      <protection hidden="1"/>
    </xf>
    <xf numFmtId="164" fontId="7" fillId="0" borderId="0" xfId="1" applyNumberFormat="1" applyFont="1" applyProtection="1">
      <protection hidden="1"/>
    </xf>
    <xf numFmtId="0" fontId="7" fillId="0" borderId="0" xfId="0" applyFont="1" applyProtection="1">
      <protection hidden="1"/>
    </xf>
    <xf numFmtId="168" fontId="7" fillId="0" borderId="0" xfId="1" applyNumberFormat="1" applyFont="1" applyProtection="1">
      <protection hidden="1"/>
    </xf>
    <xf numFmtId="169" fontId="2" fillId="5" borderId="11" xfId="1" applyNumberFormat="1" applyFont="1" applyFill="1" applyBorder="1" applyProtection="1">
      <protection hidden="1"/>
    </xf>
  </cellXfs>
  <cellStyles count="2">
    <cellStyle name="Comma" xfId="1" builtinId="3"/>
    <cellStyle name="Normal" xfId="0" builtinId="0"/>
  </cellStyles>
  <dxfs count="0"/>
  <tableStyles count="0" defaultTableStyle="TableStyleMedium2" defaultPivotStyle="PivotStyleLight16"/>
  <colors>
    <mruColors>
      <color rgb="FF369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12-month Cash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15875" cap="rnd">
              <a:solidFill>
                <a:srgbClr val="3697C1">
                  <a:alpha val="72000"/>
                </a:srgbClr>
              </a:solidFill>
              <a:bevel/>
              <a:headEnd type="diamond"/>
              <a:tailEnd type="triangle"/>
            </a:ln>
            <a:effectLst/>
          </c:spPr>
          <c:marker>
            <c:symbol val="diamond"/>
            <c:size val="5"/>
            <c:spPr>
              <a:solidFill>
                <a:srgbClr val="3697C1"/>
              </a:solidFill>
              <a:ln w="9525">
                <a:solidFill>
                  <a:schemeClr val="accent1"/>
                </a:solidFill>
              </a:ln>
              <a:effectLst/>
            </c:spPr>
          </c:marker>
          <c:cat>
            <c:numRef>
              <c:f>'Cash Flow'!$B$48:$N$48</c:f>
              <c:numCache>
                <c:formatCode>[$-409]mmm\-yy;@</c:formatCode>
                <c:ptCount val="13"/>
                <c:pt idx="0">
                  <c:v>43921</c:v>
                </c:pt>
                <c:pt idx="1">
                  <c:v>43951</c:v>
                </c:pt>
                <c:pt idx="2">
                  <c:v>43982</c:v>
                </c:pt>
                <c:pt idx="3">
                  <c:v>44012</c:v>
                </c:pt>
                <c:pt idx="4">
                  <c:v>44043</c:v>
                </c:pt>
                <c:pt idx="5">
                  <c:v>44074</c:v>
                </c:pt>
                <c:pt idx="6">
                  <c:v>44104</c:v>
                </c:pt>
                <c:pt idx="7">
                  <c:v>44135</c:v>
                </c:pt>
                <c:pt idx="8">
                  <c:v>44165</c:v>
                </c:pt>
                <c:pt idx="9">
                  <c:v>44196</c:v>
                </c:pt>
                <c:pt idx="10">
                  <c:v>44227</c:v>
                </c:pt>
                <c:pt idx="11">
                  <c:v>44255</c:v>
                </c:pt>
                <c:pt idx="12">
                  <c:v>44286</c:v>
                </c:pt>
              </c:numCache>
            </c:numRef>
          </c:cat>
          <c:val>
            <c:numRef>
              <c:f>'Cash Flow'!$B$49:$N$49</c:f>
              <c:numCache>
                <c:formatCode>#,##0;\(#,##0\)</c:formatCode>
                <c:ptCount val="13"/>
                <c:pt idx="0">
                  <c:v>35000</c:v>
                </c:pt>
                <c:pt idx="1">
                  <c:v>-14650</c:v>
                </c:pt>
                <c:pt idx="2">
                  <c:v>-44300</c:v>
                </c:pt>
                <c:pt idx="3">
                  <c:v>-80550</c:v>
                </c:pt>
                <c:pt idx="4">
                  <c:v>-60500</c:v>
                </c:pt>
                <c:pt idx="5">
                  <c:v>-21350</c:v>
                </c:pt>
                <c:pt idx="6">
                  <c:v>-1300</c:v>
                </c:pt>
                <c:pt idx="7">
                  <c:v>18750</c:v>
                </c:pt>
                <c:pt idx="8">
                  <c:v>15550</c:v>
                </c:pt>
                <c:pt idx="9">
                  <c:v>35600</c:v>
                </c:pt>
                <c:pt idx="10">
                  <c:v>55650</c:v>
                </c:pt>
                <c:pt idx="11">
                  <c:v>52450</c:v>
                </c:pt>
                <c:pt idx="12">
                  <c:v>70500</c:v>
                </c:pt>
              </c:numCache>
            </c:numRef>
          </c:val>
          <c:smooth val="1"/>
          <c:extLst>
            <c:ext xmlns:c16="http://schemas.microsoft.com/office/drawing/2014/chart" uri="{C3380CC4-5D6E-409C-BE32-E72D297353CC}">
              <c16:uniqueId val="{00000000-A5A6-486E-8FA2-F165606FC3DA}"/>
            </c:ext>
          </c:extLst>
        </c:ser>
        <c:dLbls>
          <c:showLegendKey val="0"/>
          <c:showVal val="0"/>
          <c:showCatName val="0"/>
          <c:showSerName val="0"/>
          <c:showPercent val="0"/>
          <c:showBubbleSize val="0"/>
        </c:dLbls>
        <c:marker val="1"/>
        <c:smooth val="0"/>
        <c:axId val="746790136"/>
        <c:axId val="746782920"/>
      </c:lineChart>
      <c:dateAx>
        <c:axId val="746790136"/>
        <c:scaling>
          <c:orientation val="minMax"/>
        </c:scaling>
        <c:delete val="0"/>
        <c:axPos val="b"/>
        <c:numFmt formatCode="[$-409]mmm\-yy;@" sourceLinked="1"/>
        <c:majorTickMark val="out"/>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782920"/>
        <c:crosses val="autoZero"/>
        <c:auto val="1"/>
        <c:lblOffset val="100"/>
        <c:baseTimeUnit val="months"/>
      </c:dateAx>
      <c:valAx>
        <c:axId val="746782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Cash Balance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790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142875</xdr:rowOff>
    </xdr:from>
    <xdr:ext cx="6501362" cy="1578952"/>
    <xdr:sp macro="" textlink="">
      <xdr:nvSpPr>
        <xdr:cNvPr id="2" name="Rectangle 1">
          <a:extLst>
            <a:ext uri="{FF2B5EF4-FFF2-40B4-BE49-F238E27FC236}">
              <a16:creationId xmlns:a16="http://schemas.microsoft.com/office/drawing/2014/main" id="{207824A2-4E68-470B-963C-3D4DD5B228F0}"/>
            </a:ext>
          </a:extLst>
        </xdr:cNvPr>
        <xdr:cNvSpPr/>
      </xdr:nvSpPr>
      <xdr:spPr>
        <a:xfrm>
          <a:off x="183173" y="582490"/>
          <a:ext cx="6501362" cy="1578952"/>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900" b="1">
              <a:solidFill>
                <a:srgbClr val="0070C0"/>
              </a:solidFill>
              <a:effectLst/>
              <a:latin typeface="Arial" panose="020B0604020202020204" pitchFamily="34" charset="0"/>
              <a:ea typeface="+mn-ea"/>
              <a:cs typeface="Arial" panose="020B0604020202020204" pitchFamily="34" charset="0"/>
            </a:rPr>
            <a:t>INTRODUCTION</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a:solidFill>
                <a:sysClr val="windowText" lastClr="000000"/>
              </a:solidFill>
              <a:effectLst/>
              <a:latin typeface="Arial" panose="020B0604020202020204" pitchFamily="34" charset="0"/>
              <a:ea typeface="+mn-ea"/>
              <a:cs typeface="Arial" panose="020B0604020202020204" pitchFamily="34" charset="0"/>
            </a:rPr>
            <a:t>Welcome to the Covid-19</a:t>
          </a:r>
          <a:r>
            <a:rPr lang="en-GB" sz="700" baseline="0">
              <a:solidFill>
                <a:sysClr val="windowText" lastClr="000000"/>
              </a:solidFill>
              <a:effectLst/>
              <a:latin typeface="Arial" panose="020B0604020202020204" pitchFamily="34" charset="0"/>
              <a:ea typeface="+mn-ea"/>
              <a:cs typeface="Arial" panose="020B0604020202020204" pitchFamily="34" charset="0"/>
            </a:rPr>
            <a:t> </a:t>
          </a:r>
          <a:r>
            <a:rPr lang="en-GB" sz="700">
              <a:solidFill>
                <a:sysClr val="windowText" lastClr="000000"/>
              </a:solidFill>
              <a:effectLst/>
              <a:latin typeface="Arial" panose="020B0604020202020204" pitchFamily="34" charset="0"/>
              <a:ea typeface="+mn-ea"/>
              <a:cs typeface="Arial" panose="020B0604020202020204" pitchFamily="34" charset="0"/>
            </a:rPr>
            <a:t>financial modelling toolkit!</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a:solidFill>
                <a:sysClr val="windowText" lastClr="000000"/>
              </a:solidFill>
              <a:effectLst/>
              <a:latin typeface="Arial" panose="020B0604020202020204" pitchFamily="34" charset="0"/>
              <a:ea typeface="+mn-ea"/>
              <a:cs typeface="Arial" panose="020B0604020202020204" pitchFamily="34" charset="0"/>
            </a:rPr>
            <a:t>The Financial Model will enable you to undertake a high-level assessment of the impact of Covid-19 on the</a:t>
          </a:r>
          <a:r>
            <a:rPr lang="en-GB" sz="700" baseline="0">
              <a:solidFill>
                <a:sysClr val="windowText" lastClr="000000"/>
              </a:solidFill>
              <a:effectLst/>
              <a:latin typeface="Arial" panose="020B0604020202020204" pitchFamily="34" charset="0"/>
              <a:ea typeface="+mn-ea"/>
              <a:cs typeface="Arial" panose="020B0604020202020204" pitchFamily="34" charset="0"/>
            </a:rPr>
            <a:t> cash flows of </a:t>
          </a:r>
          <a:r>
            <a:rPr lang="en-GB" sz="700">
              <a:solidFill>
                <a:sysClr val="windowText" lastClr="000000"/>
              </a:solidFill>
              <a:effectLst/>
              <a:latin typeface="Arial" panose="020B0604020202020204" pitchFamily="34" charset="0"/>
              <a:ea typeface="+mn-ea"/>
              <a:cs typeface="Arial" panose="020B0604020202020204" pitchFamily="34" charset="0"/>
            </a:rPr>
            <a:t>your business for the</a:t>
          </a:r>
          <a:r>
            <a:rPr lang="en-GB" sz="700" baseline="0">
              <a:solidFill>
                <a:sysClr val="windowText" lastClr="000000"/>
              </a:solidFill>
              <a:effectLst/>
              <a:latin typeface="Arial" panose="020B0604020202020204" pitchFamily="34" charset="0"/>
              <a:ea typeface="+mn-ea"/>
              <a:cs typeface="Arial" panose="020B0604020202020204" pitchFamily="34" charset="0"/>
            </a:rPr>
            <a:t> next 12 months</a:t>
          </a:r>
          <a:r>
            <a:rPr lang="en-GB" sz="700">
              <a:solidFill>
                <a:sysClr val="windowText" lastClr="000000"/>
              </a:solidFill>
              <a:effectLst/>
              <a:latin typeface="Arial" panose="020B0604020202020204" pitchFamily="34" charset="0"/>
              <a:ea typeface="+mn-ea"/>
              <a:cs typeface="Arial" panose="020B0604020202020204" pitchFamily="34" charset="0"/>
            </a:rPr>
            <a:t>.</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a:solidFill>
                <a:sysClr val="windowText" lastClr="000000"/>
              </a:solidFill>
              <a:effectLst/>
              <a:latin typeface="Arial" panose="020B0604020202020204" pitchFamily="34" charset="0"/>
              <a:ea typeface="+mn-ea"/>
              <a:cs typeface="Arial" panose="020B0604020202020204" pitchFamily="34" charset="0"/>
            </a:rPr>
            <a:t>The Microsoft Excel Model is designed to provide help to those already running a business. It will help you forecast monthly</a:t>
          </a:r>
          <a:r>
            <a:rPr lang="en-GB" sz="700" baseline="0">
              <a:solidFill>
                <a:sysClr val="windowText" lastClr="000000"/>
              </a:solidFill>
              <a:effectLst/>
              <a:latin typeface="Arial" panose="020B0604020202020204" pitchFamily="34" charset="0"/>
              <a:ea typeface="+mn-ea"/>
              <a:cs typeface="Arial" panose="020B0604020202020204" pitchFamily="34" charset="0"/>
            </a:rPr>
            <a:t> </a:t>
          </a:r>
          <a:r>
            <a:rPr lang="en-GB" sz="700">
              <a:solidFill>
                <a:sysClr val="windowText" lastClr="000000"/>
              </a:solidFill>
              <a:effectLst/>
              <a:latin typeface="Arial" panose="020B0604020202020204" pitchFamily="34" charset="0"/>
              <a:ea typeface="+mn-ea"/>
              <a:cs typeface="Arial" panose="020B0604020202020204" pitchFamily="34" charset="0"/>
            </a:rPr>
            <a:t>cash flows for the</a:t>
          </a:r>
          <a:r>
            <a:rPr lang="en-GB" sz="700" baseline="0">
              <a:solidFill>
                <a:sysClr val="windowText" lastClr="000000"/>
              </a:solidFill>
              <a:effectLst/>
              <a:latin typeface="Arial" panose="020B0604020202020204" pitchFamily="34" charset="0"/>
              <a:ea typeface="+mn-ea"/>
              <a:cs typeface="Arial" panose="020B0604020202020204" pitchFamily="34" charset="0"/>
            </a:rPr>
            <a:t> next 12 months</a:t>
          </a:r>
          <a:r>
            <a:rPr lang="en-GB" sz="700">
              <a:solidFill>
                <a:sysClr val="windowText" lastClr="000000"/>
              </a:solidFill>
              <a:effectLst/>
              <a:latin typeface="Arial" panose="020B0604020202020204" pitchFamily="34" charset="0"/>
              <a:ea typeface="+mn-ea"/>
              <a:cs typeface="Arial" panose="020B0604020202020204" pitchFamily="34" charset="0"/>
            </a:rPr>
            <a:t>. The Model utilises certain pre-set analysis tools like VAT payment deferral and Coronavirus</a:t>
          </a:r>
          <a:r>
            <a:rPr lang="en-GB" sz="700" baseline="0">
              <a:solidFill>
                <a:sysClr val="windowText" lastClr="000000"/>
              </a:solidFill>
              <a:effectLst/>
              <a:latin typeface="Arial" panose="020B0604020202020204" pitchFamily="34" charset="0"/>
              <a:ea typeface="+mn-ea"/>
              <a:cs typeface="Arial" panose="020B0604020202020204" pitchFamily="34" charset="0"/>
            </a:rPr>
            <a:t> Job Retention Support calculator</a:t>
          </a:r>
          <a:r>
            <a:rPr lang="en-GB" sz="700">
              <a:solidFill>
                <a:sysClr val="windowText" lastClr="000000"/>
              </a:solidFill>
              <a:effectLst/>
              <a:latin typeface="Arial" panose="020B0604020202020204" pitchFamily="34" charset="0"/>
              <a:ea typeface="+mn-ea"/>
              <a:cs typeface="Arial" panose="020B0604020202020204" pitchFamily="34" charset="0"/>
            </a:rPr>
            <a:t> which will help you assess the impact of Covid-19 on your cash flows.</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a:solidFill>
                <a:sysClr val="windowText" lastClr="000000"/>
              </a:solidFill>
              <a:effectLst/>
              <a:latin typeface="Arial" panose="020B0604020202020204" pitchFamily="34" charset="0"/>
              <a:ea typeface="+mn-ea"/>
              <a:cs typeface="Arial" panose="020B0604020202020204" pitchFamily="34" charset="0"/>
            </a:rPr>
            <a:t>The Model has been prepared for a wide variety of users. However, users must have some excel and accounting experience. Extensive directions and guidance is available throughout the Model.</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1">
              <a:solidFill>
                <a:sysClr val="windowText" lastClr="000000"/>
              </a:solidFill>
              <a:effectLst/>
              <a:latin typeface="Arial" panose="020B0604020202020204" pitchFamily="34" charset="0"/>
              <a:ea typeface="+mn-ea"/>
              <a:cs typeface="Arial" panose="020B0604020202020204" pitchFamily="34" charset="0"/>
            </a:rPr>
            <a:t>Note: The model</a:t>
          </a:r>
          <a:r>
            <a:rPr lang="en-GB" sz="700" i="1" baseline="0">
              <a:solidFill>
                <a:sysClr val="windowText" lastClr="000000"/>
              </a:solidFill>
              <a:effectLst/>
              <a:latin typeface="Arial" panose="020B0604020202020204" pitchFamily="34" charset="0"/>
              <a:ea typeface="+mn-ea"/>
              <a:cs typeface="Arial" panose="020B0604020202020204" pitchFamily="34" charset="0"/>
            </a:rPr>
            <a:t> is based on support to businesses announced by the UK Government up to 28 March 2020.</a:t>
          </a:r>
          <a:endParaRPr lang="en-GB" sz="700" i="1">
            <a:solidFill>
              <a:sysClr val="windowText" lastClr="000000"/>
            </a:solidFill>
            <a:effectLst/>
            <a:latin typeface="Arial" panose="020B0604020202020204" pitchFamily="34" charset="0"/>
            <a:ea typeface="+mn-ea"/>
            <a:cs typeface="Arial" panose="020B0604020202020204" pitchFamily="34" charset="0"/>
          </a:endParaRP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oneCellAnchor>
    <xdr:from>
      <xdr:col>1</xdr:col>
      <xdr:colOff>0</xdr:colOff>
      <xdr:row>14</xdr:row>
      <xdr:rowOff>146538</xdr:rowOff>
    </xdr:from>
    <xdr:ext cx="6501362" cy="2417886"/>
    <xdr:sp macro="" textlink="">
      <xdr:nvSpPr>
        <xdr:cNvPr id="3" name="Rectangle 2">
          <a:extLst>
            <a:ext uri="{FF2B5EF4-FFF2-40B4-BE49-F238E27FC236}">
              <a16:creationId xmlns:a16="http://schemas.microsoft.com/office/drawing/2014/main" id="{A0AE82F1-C6C8-4341-8BDB-6E3C481DC483}"/>
            </a:ext>
          </a:extLst>
        </xdr:cNvPr>
        <xdr:cNvSpPr/>
      </xdr:nvSpPr>
      <xdr:spPr>
        <a:xfrm>
          <a:off x="183173" y="2198076"/>
          <a:ext cx="6501362" cy="2417886"/>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900" b="1">
              <a:solidFill>
                <a:srgbClr val="0070C0"/>
              </a:solidFill>
              <a:effectLst/>
              <a:latin typeface="Arial" panose="020B0604020202020204" pitchFamily="34" charset="0"/>
              <a:ea typeface="+mn-ea"/>
              <a:cs typeface="Arial" panose="020B0604020202020204" pitchFamily="34" charset="0"/>
            </a:rPr>
            <a:t>NI Supports Available</a:t>
          </a: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1">
              <a:solidFill>
                <a:sysClr val="windowText" lastClr="000000"/>
              </a:solidFill>
              <a:effectLst/>
              <a:latin typeface="Arial" panose="020B0604020202020204" pitchFamily="34" charset="0"/>
              <a:ea typeface="+mn-ea"/>
              <a:cs typeface="Arial" panose="020B0604020202020204" pitchFamily="34" charset="0"/>
            </a:rPr>
            <a:t>B</a:t>
          </a:r>
          <a:r>
            <a:rPr lang="en-GB" sz="700" i="1" baseline="0">
              <a:solidFill>
                <a:sysClr val="windowText" lastClr="000000"/>
              </a:solidFill>
              <a:effectLst/>
              <a:latin typeface="Arial" panose="020B0604020202020204" pitchFamily="34" charset="0"/>
              <a:ea typeface="+mn-ea"/>
              <a:cs typeface="Arial" panose="020B0604020202020204" pitchFamily="34" charset="0"/>
            </a:rPr>
            <a:t>ased on support to businesses announced by the UK Government and NI Executive up to 28 March 2020.</a:t>
          </a:r>
        </a:p>
        <a:p>
          <a:pPr algn="l"/>
          <a:endParaRPr lang="en-GB" sz="700" i="1"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1.  Under the Coronavirus Job Retention Scheme, ALL UK employers will be able to access grants to continue paying part of their employees’ salary with there being no limit on the overall fund for making payments.</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2. A new temporary Coronavirus Business Interruption Loan Scheme, delivered by the British Business Bank and 22 participating lenders in Northern Ireland, aims to support primarily SMEs to access bank lending and overdrafts.</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3. The Northern Ireland Executive has made available two grants to local businesses to support them during the COVID-19 pandemic.</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4. The UK government has announced that all VAT payments are postponed for the next three months until the end of June 2020 during the coronavirus pandemic. </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5. Rates holiday for businesses.</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6. HMRC has a set up a phone helpline to support businesses and self-employed people concerned about not being able to pay their tax due to coronavirus (COVID-19).</a:t>
          </a:r>
        </a:p>
        <a:p>
          <a:pPr algn="l"/>
          <a:endParaRPr lang="en-GB" sz="700" i="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i="0" baseline="0">
              <a:solidFill>
                <a:sysClr val="windowText" lastClr="000000"/>
              </a:solidFill>
              <a:effectLst/>
              <a:latin typeface="Arial" panose="020B0604020202020204" pitchFamily="34" charset="0"/>
              <a:ea typeface="+mn-ea"/>
              <a:cs typeface="Arial" panose="020B0604020202020204" pitchFamily="34" charset="0"/>
            </a:rPr>
            <a:t>7. The Government will bring forward legislation to allow employers to reclaim Statutory Sick Pay (SSP) from day one of employees absence. This will cover up to 2 weeks’ SSP per eligible employee who has been off work because of COVID-19.</a:t>
          </a:r>
          <a:endParaRPr lang="en-GB" sz="700" i="0">
            <a:solidFill>
              <a:sysClr val="windowText" lastClr="000000"/>
            </a:solidFill>
            <a:effectLst/>
            <a:latin typeface="Arial" panose="020B0604020202020204" pitchFamily="34" charset="0"/>
            <a:ea typeface="+mn-ea"/>
            <a:cs typeface="Arial" panose="020B0604020202020204" pitchFamily="34" charset="0"/>
          </a:endParaRP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30</xdr:row>
      <xdr:rowOff>101160</xdr:rowOff>
    </xdr:from>
    <xdr:ext cx="6501362" cy="1260915"/>
    <xdr:sp macro="" textlink="">
      <xdr:nvSpPr>
        <xdr:cNvPr id="2" name="Rectangle 1">
          <a:extLst>
            <a:ext uri="{FF2B5EF4-FFF2-40B4-BE49-F238E27FC236}">
              <a16:creationId xmlns:a16="http://schemas.microsoft.com/office/drawing/2014/main" id="{05B10F3E-7D69-46FE-B2E8-15F07A0E0D5C}"/>
            </a:ext>
          </a:extLst>
        </xdr:cNvPr>
        <xdr:cNvSpPr/>
      </xdr:nvSpPr>
      <xdr:spPr>
        <a:xfrm>
          <a:off x="180975" y="5035110"/>
          <a:ext cx="6501362" cy="1260915"/>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Under the Coronavirus Job Retention Scheme, ALL UK employers will be able to access grants to continue paying part of their employees’ salary with there being no limit on the overall fund for making payments.</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In respect of furloughed workers, these grants will cover 80% of their Monthly Gross Wage (up to a max of £2,500 plus the associated Employer National Insurance Contributions and minimum automatic enrolment employer pension contributions on that wage) if employers cannot cover staff costs due to COVID-19. Employers could choose to fund the remaining 20% of salary, but do not have to. In respect of this scheme, furloughed workers are those workers that are allowed to or are forced to be absent temporarily from work during the coronavirus pandemic and who have not been made redundant.</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You can access the link to the UK Government guidance here:</a:t>
          </a:r>
        </a:p>
        <a:p>
          <a:pPr algn="l"/>
          <a:r>
            <a:rPr lang="en-GB" sz="800">
              <a:hlinkClick xmlns:r="http://schemas.openxmlformats.org/officeDocument/2006/relationships" r:id=""/>
            </a:rPr>
            <a:t>https://www.gov.uk/guidance/claim-for-wage-costs-through-the-coronavirus-job-retention-scheme</a:t>
          </a:r>
          <a:endParaRPr lang="en-GB" sz="7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oneCellAnchor>
    <xdr:from>
      <xdr:col>1</xdr:col>
      <xdr:colOff>0</xdr:colOff>
      <xdr:row>107</xdr:row>
      <xdr:rowOff>24960</xdr:rowOff>
    </xdr:from>
    <xdr:ext cx="5257178" cy="909680"/>
    <xdr:sp macro="" textlink="">
      <xdr:nvSpPr>
        <xdr:cNvPr id="4" name="Rectangle 3">
          <a:extLst>
            <a:ext uri="{FF2B5EF4-FFF2-40B4-BE49-F238E27FC236}">
              <a16:creationId xmlns:a16="http://schemas.microsoft.com/office/drawing/2014/main" id="{F146538F-AC31-41F5-A443-692624A72F42}"/>
            </a:ext>
          </a:extLst>
        </xdr:cNvPr>
        <xdr:cNvSpPr/>
      </xdr:nvSpPr>
      <xdr:spPr>
        <a:xfrm>
          <a:off x="180975" y="12255060"/>
          <a:ext cx="5257178" cy="909680"/>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Insert details of the</a:t>
          </a:r>
          <a:r>
            <a:rPr lang="en-GB" sz="700" baseline="0">
              <a:solidFill>
                <a:sysClr val="windowText" lastClr="000000"/>
              </a:solidFill>
              <a:effectLst/>
              <a:latin typeface="Arial" panose="020B0604020202020204" pitchFamily="34" charset="0"/>
              <a:ea typeface="+mn-ea"/>
              <a:cs typeface="Arial" panose="020B0604020202020204" pitchFamily="34" charset="0"/>
            </a:rPr>
            <a:t> opening balance sheet in the space provided. Ensure that all opening balances are entered as positive amounts.</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Ensure that the Balance sheet balances and the check balance below is Zero.</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Also insert the expected receipts from debtors, payments to creditors and payments to lenders (payments should include interest) below for the 3 month disrupted period. Ensure that all receipts and payments are entered as NEGATIVE amounts.</a:t>
          </a:r>
          <a:endParaRPr lang="en-GB" sz="7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oneCellAnchor>
    <xdr:from>
      <xdr:col>1</xdr:col>
      <xdr:colOff>0</xdr:colOff>
      <xdr:row>9</xdr:row>
      <xdr:rowOff>24960</xdr:rowOff>
    </xdr:from>
    <xdr:ext cx="6501362" cy="1270440"/>
    <xdr:sp macro="" textlink="">
      <xdr:nvSpPr>
        <xdr:cNvPr id="8" name="Rectangle 7">
          <a:extLst>
            <a:ext uri="{FF2B5EF4-FFF2-40B4-BE49-F238E27FC236}">
              <a16:creationId xmlns:a16="http://schemas.microsoft.com/office/drawing/2014/main" id="{46D574DC-FF49-4C38-89A1-9E53B24209AC}"/>
            </a:ext>
          </a:extLst>
        </xdr:cNvPr>
        <xdr:cNvSpPr/>
      </xdr:nvSpPr>
      <xdr:spPr>
        <a:xfrm>
          <a:off x="180975" y="1358460"/>
          <a:ext cx="6501362" cy="1270440"/>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The</a:t>
          </a:r>
          <a:r>
            <a:rPr lang="en-GB" sz="700" baseline="0">
              <a:solidFill>
                <a:sysClr val="windowText" lastClr="000000"/>
              </a:solidFill>
              <a:effectLst/>
              <a:latin typeface="Arial" panose="020B0604020202020204" pitchFamily="34" charset="0"/>
              <a:ea typeface="+mn-ea"/>
              <a:cs typeface="Arial" panose="020B0604020202020204" pitchFamily="34" charset="0"/>
            </a:rPr>
            <a:t> Covid-19 impact assessment tool enables you to estimate the cash flow impact of the disruption faced by businesses. This model assumes that it will take 3 months for the operations to return to normal.</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In the space provided below fill in the estimate of your cash flow inflows and outflows for the 3 month period (net excluding VAT). Ensure that the amounts entered below is your best estimate of cash flows during this period.</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Please note that payments are to be entered as negative values. For instance if £20,000 is paid to creditors, insert -20,000 in the space provided and press enter. The cell will then display (20,000).</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Ensure that receipts/payments relating to debtors/creditors before the model start date are </a:t>
          </a:r>
          <a:r>
            <a:rPr lang="en-GB" sz="700" b="1" baseline="0">
              <a:solidFill>
                <a:sysClr val="windowText" lastClr="000000"/>
              </a:solidFill>
              <a:effectLst/>
              <a:latin typeface="Arial" panose="020B0604020202020204" pitchFamily="34" charset="0"/>
              <a:ea typeface="+mn-ea"/>
              <a:cs typeface="Arial" panose="020B0604020202020204" pitchFamily="34" charset="0"/>
            </a:rPr>
            <a:t>EXCLUDED</a:t>
          </a:r>
          <a:r>
            <a:rPr lang="en-GB" sz="700" baseline="0">
              <a:solidFill>
                <a:sysClr val="windowText" lastClr="000000"/>
              </a:solidFill>
              <a:effectLst/>
              <a:latin typeface="Arial" panose="020B0604020202020204" pitchFamily="34" charset="0"/>
              <a:ea typeface="+mn-ea"/>
              <a:cs typeface="Arial" panose="020B0604020202020204" pitchFamily="34" charset="0"/>
            </a:rPr>
            <a:t>. Receipts/payments relating to opening balances are to be entered seperately below.</a:t>
          </a:r>
        </a:p>
      </xdr:txBody>
    </xdr:sp>
    <xdr:clientData/>
  </xdr:oneCellAnchor>
  <xdr:oneCellAnchor>
    <xdr:from>
      <xdr:col>1</xdr:col>
      <xdr:colOff>0</xdr:colOff>
      <xdr:row>142</xdr:row>
      <xdr:rowOff>24960</xdr:rowOff>
    </xdr:from>
    <xdr:ext cx="6501362" cy="727515"/>
    <xdr:sp macro="" textlink="">
      <xdr:nvSpPr>
        <xdr:cNvPr id="10" name="Rectangle 9">
          <a:extLst>
            <a:ext uri="{FF2B5EF4-FFF2-40B4-BE49-F238E27FC236}">
              <a16:creationId xmlns:a16="http://schemas.microsoft.com/office/drawing/2014/main" id="{FCE454D3-29F9-4CD1-BDA1-27BFC89ED211}"/>
            </a:ext>
          </a:extLst>
        </xdr:cNvPr>
        <xdr:cNvSpPr/>
      </xdr:nvSpPr>
      <xdr:spPr>
        <a:xfrm>
          <a:off x="180975" y="14941110"/>
          <a:ext cx="6501362" cy="727515"/>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This model assumes that trading</a:t>
          </a:r>
          <a:r>
            <a:rPr lang="en-GB" sz="700" baseline="0">
              <a:solidFill>
                <a:sysClr val="windowText" lastClr="000000"/>
              </a:solidFill>
              <a:effectLst/>
              <a:latin typeface="Arial" panose="020B0604020202020204" pitchFamily="34" charset="0"/>
              <a:ea typeface="+mn-ea"/>
              <a:cs typeface="Arial" panose="020B0604020202020204" pitchFamily="34" charset="0"/>
            </a:rPr>
            <a:t> will return to normal within 3 months from model start date.</a:t>
          </a:r>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endParaRPr lang="en-GB" sz="70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In the space provided below fill in the estimate of your </a:t>
          </a:r>
          <a:r>
            <a:rPr lang="en-GB" sz="700" b="1" baseline="0">
              <a:solidFill>
                <a:sysClr val="windowText" lastClr="000000"/>
              </a:solidFill>
              <a:effectLst/>
              <a:latin typeface="Arial" panose="020B0604020202020204" pitchFamily="34" charset="0"/>
              <a:ea typeface="+mn-ea"/>
              <a:cs typeface="Arial" panose="020B0604020202020204" pitchFamily="34" charset="0"/>
            </a:rPr>
            <a:t>annual</a:t>
          </a:r>
          <a:r>
            <a:rPr lang="en-GB" sz="700" baseline="0">
              <a:solidFill>
                <a:sysClr val="windowText" lastClr="000000"/>
              </a:solidFill>
              <a:effectLst/>
              <a:latin typeface="Arial" panose="020B0604020202020204" pitchFamily="34" charset="0"/>
              <a:ea typeface="+mn-ea"/>
              <a:cs typeface="Arial" panose="020B0604020202020204" pitchFamily="34" charset="0"/>
            </a:rPr>
            <a:t> profit and loss account after the Covid-19 disruption. This can be based on the financial performance for the previous year.</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Ensure that all opening balances are entered as positive amounts.</a:t>
          </a:r>
        </a:p>
      </xdr:txBody>
    </xdr:sp>
    <xdr:clientData/>
  </xdr:oneCellAnchor>
  <xdr:oneCellAnchor>
    <xdr:from>
      <xdr:col>1</xdr:col>
      <xdr:colOff>9525</xdr:colOff>
      <xdr:row>74</xdr:row>
      <xdr:rowOff>110684</xdr:rowOff>
    </xdr:from>
    <xdr:ext cx="5180978" cy="908491"/>
    <xdr:sp macro="" textlink="">
      <xdr:nvSpPr>
        <xdr:cNvPr id="17" name="Rectangle 16">
          <a:extLst>
            <a:ext uri="{FF2B5EF4-FFF2-40B4-BE49-F238E27FC236}">
              <a16:creationId xmlns:a16="http://schemas.microsoft.com/office/drawing/2014/main" id="{EE3ED1D4-0892-48DF-A223-F8F5B8C4CC5E}"/>
            </a:ext>
          </a:extLst>
        </xdr:cNvPr>
        <xdr:cNvSpPr/>
      </xdr:nvSpPr>
      <xdr:spPr>
        <a:xfrm>
          <a:off x="190500" y="10454834"/>
          <a:ext cx="5180978" cy="908491"/>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Select VAT </a:t>
          </a:r>
          <a:r>
            <a:rPr lang="en-GB" sz="700" baseline="0">
              <a:solidFill>
                <a:sysClr val="windowText" lastClr="000000"/>
              </a:solidFill>
              <a:effectLst/>
              <a:latin typeface="Arial" panose="020B0604020202020204" pitchFamily="34" charset="0"/>
              <a:ea typeface="+mn-ea"/>
              <a:cs typeface="Arial" panose="020B0604020202020204" pitchFamily="34" charset="0"/>
            </a:rPr>
            <a:t>payment below.  If VAT is paid monthly, select monthly from the drop down list. </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Also enter the date of when the first VAT payment would have been due under normal circumstances (the first VAT payment date after model start date) and VAT payable amount if the amount is due on the first month of model itself. If VAT payable is only due in seceond month leave the cell blank.</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700" baseline="0">
              <a:solidFill>
                <a:sysClr val="windowText" lastClr="000000"/>
              </a:solidFill>
              <a:effectLst/>
              <a:latin typeface="Arial" panose="020B0604020202020204" pitchFamily="34" charset="0"/>
              <a:ea typeface="+mn-ea"/>
              <a:cs typeface="Arial" panose="020B0604020202020204" pitchFamily="34" charset="0"/>
            </a:rPr>
            <a:t>Note: The Model assumes that VAT is applicable to all sales, cost of sales (excluding wages) and other costs.</a:t>
          </a:r>
          <a:endParaRPr lang="en-GB" sz="700">
            <a:solidFill>
              <a:sysClr val="windowText" lastClr="000000"/>
            </a:solidFill>
            <a:effectLst/>
            <a:latin typeface="Arial" panose="020B0604020202020204" pitchFamily="34" charset="0"/>
            <a:cs typeface="Arial" panose="020B0604020202020204" pitchFamily="34" charset="0"/>
          </a:endParaRP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5</xdr:col>
      <xdr:colOff>439292</xdr:colOff>
      <xdr:row>74</xdr:row>
      <xdr:rowOff>85725</xdr:rowOff>
    </xdr:from>
    <xdr:to>
      <xdr:col>6</xdr:col>
      <xdr:colOff>72744</xdr:colOff>
      <xdr:row>76</xdr:row>
      <xdr:rowOff>43027</xdr:rowOff>
    </xdr:to>
    <xdr:pic>
      <xdr:nvPicPr>
        <xdr:cNvPr id="18" name="Graphic 17" descr="Document">
          <a:extLst>
            <a:ext uri="{FF2B5EF4-FFF2-40B4-BE49-F238E27FC236}">
              <a16:creationId xmlns:a16="http://schemas.microsoft.com/office/drawing/2014/main" id="{BE072167-2C9A-4375-AD49-ADF839DC2C62}"/>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382767" y="10144125"/>
          <a:ext cx="243052" cy="243052"/>
        </a:xfrm>
        <a:prstGeom prst="rect">
          <a:avLst/>
        </a:prstGeom>
      </xdr:spPr>
    </xdr:pic>
    <xdr:clientData/>
  </xdr:twoCellAnchor>
  <xdr:oneCellAnchor>
    <xdr:from>
      <xdr:col>1</xdr:col>
      <xdr:colOff>0</xdr:colOff>
      <xdr:row>86</xdr:row>
      <xdr:rowOff>24959</xdr:rowOff>
    </xdr:from>
    <xdr:ext cx="5180978" cy="908491"/>
    <xdr:sp macro="" textlink="">
      <xdr:nvSpPr>
        <xdr:cNvPr id="12" name="Rectangle 11">
          <a:extLst>
            <a:ext uri="{FF2B5EF4-FFF2-40B4-BE49-F238E27FC236}">
              <a16:creationId xmlns:a16="http://schemas.microsoft.com/office/drawing/2014/main" id="{02AC825E-1395-4A81-90DC-901E0AFE0D91}"/>
            </a:ext>
          </a:extLst>
        </xdr:cNvPr>
        <xdr:cNvSpPr/>
      </xdr:nvSpPr>
      <xdr:spPr>
        <a:xfrm>
          <a:off x="180975" y="12083609"/>
          <a:ext cx="5180978" cy="908491"/>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The UK government has announced that all VAT payments are postponed for the next three months until the end of June 2020 during the coronavirus pandemic. </a:t>
          </a:r>
          <a:r>
            <a:rPr lang="en-GB" sz="700" baseline="0">
              <a:solidFill>
                <a:sysClr val="windowText" lastClr="000000"/>
              </a:solidFill>
              <a:effectLst/>
              <a:latin typeface="Arial" panose="020B0604020202020204" pitchFamily="34" charset="0"/>
              <a:ea typeface="+mn-ea"/>
              <a:cs typeface="Arial" panose="020B0604020202020204" pitchFamily="34" charset="0"/>
            </a:rPr>
            <a:t>The Government has confirmed that it will continue to pay VAT refunds and VAT reclaims as normal for eligible claims. In addition, taxpayers will be given until the end of the tax year 2020/21 to pay any VAT liabilities that have accumulated during this deferral period.</a:t>
          </a:r>
        </a:p>
        <a:p>
          <a:pPr algn="l"/>
          <a:endParaRPr lang="en-GB" sz="700" baseline="0">
            <a:solidFill>
              <a:sysClr val="windowText" lastClr="000000"/>
            </a:solidFill>
            <a:effectLst/>
            <a:latin typeface="Arial" panose="020B0604020202020204" pitchFamily="34" charset="0"/>
            <a:ea typeface="+mn-ea"/>
            <a:cs typeface="Arial" panose="020B0604020202020204" pitchFamily="34" charset="0"/>
          </a:endParaRPr>
        </a:p>
        <a:p>
          <a:pPr algn="l"/>
          <a:r>
            <a:rPr lang="en-GB" sz="700" baseline="0">
              <a:solidFill>
                <a:sysClr val="windowText" lastClr="000000"/>
              </a:solidFill>
              <a:effectLst/>
              <a:latin typeface="Arial" panose="020B0604020202020204" pitchFamily="34" charset="0"/>
              <a:ea typeface="+mn-ea"/>
              <a:cs typeface="Arial" panose="020B0604020202020204" pitchFamily="34" charset="0"/>
            </a:rPr>
            <a:t>You can access the link to the UK Government guidance here:</a:t>
          </a:r>
        </a:p>
        <a:p>
          <a:pPr algn="l"/>
          <a:r>
            <a:rPr lang="en-GB" sz="800">
              <a:hlinkClick xmlns:r="http://schemas.openxmlformats.org/officeDocument/2006/relationships" r:id=""/>
            </a:rPr>
            <a:t>https://www.gov.uk/guidance/deferral-of-vat-payments-due-to-coronavirus-covid-19</a:t>
          </a:r>
          <a:endParaRPr lang="en-GB" sz="7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5</xdr:col>
      <xdr:colOff>429767</xdr:colOff>
      <xdr:row>86</xdr:row>
      <xdr:rowOff>0</xdr:rowOff>
    </xdr:from>
    <xdr:to>
      <xdr:col>6</xdr:col>
      <xdr:colOff>63219</xdr:colOff>
      <xdr:row>87</xdr:row>
      <xdr:rowOff>100177</xdr:rowOff>
    </xdr:to>
    <xdr:pic>
      <xdr:nvPicPr>
        <xdr:cNvPr id="13" name="Graphic 12" descr="Document">
          <a:extLst>
            <a:ext uri="{FF2B5EF4-FFF2-40B4-BE49-F238E27FC236}">
              <a16:creationId xmlns:a16="http://schemas.microsoft.com/office/drawing/2014/main" id="{F98FB101-7FEA-473E-BF85-5D0E670228DF}"/>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373242" y="12058650"/>
          <a:ext cx="243052" cy="243052"/>
        </a:xfrm>
        <a:prstGeom prst="rect">
          <a:avLst/>
        </a:prstGeom>
      </xdr:spPr>
    </xdr:pic>
    <xdr:clientData/>
  </xdr:twoCellAnchor>
  <xdr:twoCellAnchor>
    <xdr:from>
      <xdr:col>5</xdr:col>
      <xdr:colOff>496442</xdr:colOff>
      <xdr:row>107</xdr:row>
      <xdr:rowOff>9525</xdr:rowOff>
    </xdr:from>
    <xdr:to>
      <xdr:col>6</xdr:col>
      <xdr:colOff>129894</xdr:colOff>
      <xdr:row>108</xdr:row>
      <xdr:rowOff>109702</xdr:rowOff>
    </xdr:to>
    <xdr:pic>
      <xdr:nvPicPr>
        <xdr:cNvPr id="14" name="Graphic 13" descr="Document">
          <a:extLst>
            <a:ext uri="{FF2B5EF4-FFF2-40B4-BE49-F238E27FC236}">
              <a16:creationId xmlns:a16="http://schemas.microsoft.com/office/drawing/2014/main" id="{6D5E77A5-27EA-436F-8553-996FD8D6E696}"/>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5439917" y="13496925"/>
          <a:ext cx="243052" cy="243052"/>
        </a:xfrm>
        <a:prstGeom prst="rect">
          <a:avLst/>
        </a:prstGeom>
      </xdr:spPr>
    </xdr:pic>
    <xdr:clientData/>
  </xdr:twoCellAnchor>
  <xdr:twoCellAnchor>
    <xdr:from>
      <xdr:col>7</xdr:col>
      <xdr:colOff>523875</xdr:colOff>
      <xdr:row>142</xdr:row>
      <xdr:rowOff>19050</xdr:rowOff>
    </xdr:from>
    <xdr:to>
      <xdr:col>8</xdr:col>
      <xdr:colOff>157327</xdr:colOff>
      <xdr:row>143</xdr:row>
      <xdr:rowOff>119227</xdr:rowOff>
    </xdr:to>
    <xdr:pic>
      <xdr:nvPicPr>
        <xdr:cNvPr id="15" name="Graphic 14" descr="Document">
          <a:extLst>
            <a:ext uri="{FF2B5EF4-FFF2-40B4-BE49-F238E27FC236}">
              <a16:creationId xmlns:a16="http://schemas.microsoft.com/office/drawing/2014/main" id="{341A33CF-417E-4BA3-9BE9-20A46355BD7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686550" y="18507075"/>
          <a:ext cx="243052" cy="243052"/>
        </a:xfrm>
        <a:prstGeom prst="rect">
          <a:avLst/>
        </a:prstGeom>
      </xdr:spPr>
    </xdr:pic>
    <xdr:clientData/>
  </xdr:twoCellAnchor>
  <xdr:oneCellAnchor>
    <xdr:from>
      <xdr:col>1</xdr:col>
      <xdr:colOff>28576</xdr:colOff>
      <xdr:row>1</xdr:row>
      <xdr:rowOff>72586</xdr:rowOff>
    </xdr:from>
    <xdr:ext cx="3324794" cy="298800"/>
    <xdr:sp macro="" textlink="">
      <xdr:nvSpPr>
        <xdr:cNvPr id="16" name="Rectangle 15">
          <a:extLst>
            <a:ext uri="{FF2B5EF4-FFF2-40B4-BE49-F238E27FC236}">
              <a16:creationId xmlns:a16="http://schemas.microsoft.com/office/drawing/2014/main" id="{92B35525-CDD4-47F8-BA65-9A363DD9EA10}"/>
            </a:ext>
          </a:extLst>
        </xdr:cNvPr>
        <xdr:cNvSpPr/>
      </xdr:nvSpPr>
      <xdr:spPr>
        <a:xfrm>
          <a:off x="209551" y="215461"/>
          <a:ext cx="3324794" cy="298800"/>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Ensure that the inputs</a:t>
          </a:r>
          <a:r>
            <a:rPr lang="en-GB" sz="700" baseline="0">
              <a:solidFill>
                <a:sysClr val="windowText" lastClr="000000"/>
              </a:solidFill>
              <a:effectLst/>
              <a:latin typeface="Arial" panose="020B0604020202020204" pitchFamily="34" charset="0"/>
              <a:ea typeface="+mn-ea"/>
              <a:cs typeface="Arial" panose="020B0604020202020204" pitchFamily="34" charset="0"/>
            </a:rPr>
            <a:t> are only entered in the cells highlighted in the colour cream.</a:t>
          </a:r>
          <a:endParaRPr lang="en-GB" sz="70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3</xdr:col>
      <xdr:colOff>13050</xdr:colOff>
      <xdr:row>1</xdr:row>
      <xdr:rowOff>47625</xdr:rowOff>
    </xdr:from>
    <xdr:to>
      <xdr:col>3</xdr:col>
      <xdr:colOff>256102</xdr:colOff>
      <xdr:row>3</xdr:row>
      <xdr:rowOff>4927</xdr:rowOff>
    </xdr:to>
    <xdr:pic>
      <xdr:nvPicPr>
        <xdr:cNvPr id="19" name="Graphic 18" descr="Document">
          <a:extLst>
            <a:ext uri="{FF2B5EF4-FFF2-40B4-BE49-F238E27FC236}">
              <a16:creationId xmlns:a16="http://schemas.microsoft.com/office/drawing/2014/main" id="{61E266AF-EDBE-4DAF-8698-26F30C124F1F}"/>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527775" y="190500"/>
          <a:ext cx="243052" cy="243052"/>
        </a:xfrm>
        <a:prstGeom prst="rect">
          <a:avLst/>
        </a:prstGeom>
      </xdr:spPr>
    </xdr:pic>
    <xdr:clientData/>
  </xdr:twoCellAnchor>
  <xdr:twoCellAnchor>
    <xdr:from>
      <xdr:col>7</xdr:col>
      <xdr:colOff>514350</xdr:colOff>
      <xdr:row>9</xdr:row>
      <xdr:rowOff>9525</xdr:rowOff>
    </xdr:from>
    <xdr:to>
      <xdr:col>8</xdr:col>
      <xdr:colOff>147802</xdr:colOff>
      <xdr:row>10</xdr:row>
      <xdr:rowOff>109702</xdr:rowOff>
    </xdr:to>
    <xdr:pic>
      <xdr:nvPicPr>
        <xdr:cNvPr id="20" name="Graphic 19" descr="Document">
          <a:extLst>
            <a:ext uri="{FF2B5EF4-FFF2-40B4-BE49-F238E27FC236}">
              <a16:creationId xmlns:a16="http://schemas.microsoft.com/office/drawing/2014/main" id="{A84DDA8F-20F9-49B6-9855-F5CAA367A332}"/>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677025" y="1295400"/>
          <a:ext cx="243052" cy="243052"/>
        </a:xfrm>
        <a:prstGeom prst="rect">
          <a:avLst/>
        </a:prstGeom>
      </xdr:spPr>
    </xdr:pic>
    <xdr:clientData/>
  </xdr:twoCellAnchor>
  <xdr:twoCellAnchor>
    <xdr:from>
      <xdr:col>7</xdr:col>
      <xdr:colOff>523875</xdr:colOff>
      <xdr:row>30</xdr:row>
      <xdr:rowOff>85725</xdr:rowOff>
    </xdr:from>
    <xdr:to>
      <xdr:col>8</xdr:col>
      <xdr:colOff>157327</xdr:colOff>
      <xdr:row>32</xdr:row>
      <xdr:rowOff>43027</xdr:rowOff>
    </xdr:to>
    <xdr:pic>
      <xdr:nvPicPr>
        <xdr:cNvPr id="21" name="Graphic 20" descr="Document">
          <a:extLst>
            <a:ext uri="{FF2B5EF4-FFF2-40B4-BE49-F238E27FC236}">
              <a16:creationId xmlns:a16="http://schemas.microsoft.com/office/drawing/2014/main" id="{9462AD87-2918-454F-A92E-36A4EDBFA20B}"/>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686550" y="4143375"/>
          <a:ext cx="243052" cy="243052"/>
        </a:xfrm>
        <a:prstGeom prst="rect">
          <a:avLst/>
        </a:prstGeom>
      </xdr:spPr>
    </xdr:pic>
    <xdr:clientData/>
  </xdr:twoCellAnchor>
  <xdr:oneCellAnchor>
    <xdr:from>
      <xdr:col>5</xdr:col>
      <xdr:colOff>161924</xdr:colOff>
      <xdr:row>18</xdr:row>
      <xdr:rowOff>120210</xdr:rowOff>
    </xdr:from>
    <xdr:ext cx="1581719" cy="946589"/>
    <xdr:sp macro="" textlink="">
      <xdr:nvSpPr>
        <xdr:cNvPr id="22" name="Rectangle 21">
          <a:extLst>
            <a:ext uri="{FF2B5EF4-FFF2-40B4-BE49-F238E27FC236}">
              <a16:creationId xmlns:a16="http://schemas.microsoft.com/office/drawing/2014/main" id="{E79B5B32-009C-48D3-B79C-5AF04156BC47}"/>
            </a:ext>
          </a:extLst>
        </xdr:cNvPr>
        <xdr:cNvSpPr/>
      </xdr:nvSpPr>
      <xdr:spPr>
        <a:xfrm>
          <a:off x="5105399" y="2691960"/>
          <a:ext cx="1581719" cy="946589"/>
        </a:xfrm>
        <a:prstGeom prst="rect">
          <a:avLst/>
        </a:prstGeom>
        <a:solidFill>
          <a:sysClr val="window" lastClr="FFFFFF"/>
        </a:solidFill>
        <a:ln>
          <a:solidFill>
            <a:srgbClr val="339AC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lang="en-GB" sz="700">
              <a:solidFill>
                <a:sysClr val="windowText" lastClr="000000"/>
              </a:solidFill>
              <a:effectLst/>
              <a:latin typeface="Arial" panose="020B0604020202020204" pitchFamily="34" charset="0"/>
              <a:ea typeface="+mn-ea"/>
              <a:cs typeface="Arial" panose="020B0604020202020204" pitchFamily="34" charset="0"/>
            </a:rPr>
            <a:t>The Northern Ireland Executive has made available two grants to local businesses to support them during the COVID-19 pandemic.</a:t>
          </a:r>
        </a:p>
        <a:p>
          <a:pPr algn="l"/>
          <a:r>
            <a:rPr lang="en-GB" sz="700">
              <a:solidFill>
                <a:sysClr val="windowText" lastClr="000000"/>
              </a:solidFill>
              <a:effectLst/>
              <a:latin typeface="Arial" panose="020B0604020202020204" pitchFamily="34" charset="0"/>
              <a:ea typeface="+mn-ea"/>
              <a:cs typeface="Arial" panose="020B0604020202020204" pitchFamily="34" charset="0"/>
            </a:rPr>
            <a:t>- £10,000 Grant for small business.</a:t>
          </a:r>
        </a:p>
        <a:p>
          <a:pPr algn="l"/>
          <a:r>
            <a:rPr lang="en-GB" sz="700">
              <a:solidFill>
                <a:sysClr val="windowText" lastClr="000000"/>
              </a:solidFill>
              <a:effectLst/>
              <a:latin typeface="Arial" panose="020B0604020202020204" pitchFamily="34" charset="0"/>
              <a:ea typeface="+mn-ea"/>
              <a:cs typeface="Arial" panose="020B0604020202020204" pitchFamily="34" charset="0"/>
            </a:rPr>
            <a:t>- £25,000 Grant for larger, medium-sized firms in the retail tourism and hospitality sectors</a:t>
          </a:r>
        </a:p>
      </xdr:txBody>
    </xdr:sp>
    <xdr:clientData/>
  </xdr:oneCellAnchor>
  <xdr:twoCellAnchor>
    <xdr:from>
      <xdr:col>7</xdr:col>
      <xdr:colOff>517874</xdr:colOff>
      <xdr:row>18</xdr:row>
      <xdr:rowOff>95250</xdr:rowOff>
    </xdr:from>
    <xdr:to>
      <xdr:col>8</xdr:col>
      <xdr:colOff>151326</xdr:colOff>
      <xdr:row>20</xdr:row>
      <xdr:rowOff>52552</xdr:rowOff>
    </xdr:to>
    <xdr:pic>
      <xdr:nvPicPr>
        <xdr:cNvPr id="23" name="Graphic 22" descr="Document">
          <a:extLst>
            <a:ext uri="{FF2B5EF4-FFF2-40B4-BE49-F238E27FC236}">
              <a16:creationId xmlns:a16="http://schemas.microsoft.com/office/drawing/2014/main" id="{A5473405-C7AB-4B82-90B0-DA502C08311E}"/>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6680549" y="2667000"/>
          <a:ext cx="243052" cy="243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323850</xdr:colOff>
      <xdr:row>2</xdr:row>
      <xdr:rowOff>138112</xdr:rowOff>
    </xdr:from>
    <xdr:to>
      <xdr:col>13</xdr:col>
      <xdr:colOff>476249</xdr:colOff>
      <xdr:row>20</xdr:row>
      <xdr:rowOff>114300</xdr:rowOff>
    </xdr:to>
    <xdr:graphicFrame macro="">
      <xdr:nvGraphicFramePr>
        <xdr:cNvPr id="4" name="Chart 3">
          <a:extLst>
            <a:ext uri="{FF2B5EF4-FFF2-40B4-BE49-F238E27FC236}">
              <a16:creationId xmlns:a16="http://schemas.microsoft.com/office/drawing/2014/main" id="{27E8984C-0DEF-44C4-836C-3434E6900F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1228725</xdr:colOff>
      <xdr:row>3</xdr:row>
      <xdr:rowOff>0</xdr:rowOff>
    </xdr:from>
    <xdr:to>
      <xdr:col>5</xdr:col>
      <xdr:colOff>0</xdr:colOff>
      <xdr:row>20</xdr:row>
      <xdr:rowOff>114299</xdr:rowOff>
    </xdr:to>
    <xdr:sp macro="" textlink="">
      <xdr:nvSpPr>
        <xdr:cNvPr id="5" name="Rectangle 4">
          <a:extLst>
            <a:ext uri="{FF2B5EF4-FFF2-40B4-BE49-F238E27FC236}">
              <a16:creationId xmlns:a16="http://schemas.microsoft.com/office/drawing/2014/main" id="{FE02DD84-2FF9-4595-AE8C-2CBB684B6A5C}"/>
            </a:ext>
          </a:extLst>
        </xdr:cNvPr>
        <xdr:cNvSpPr/>
      </xdr:nvSpPr>
      <xdr:spPr>
        <a:xfrm>
          <a:off x="1409700" y="428625"/>
          <a:ext cx="2314575" cy="2543174"/>
        </a:xfrm>
        <a:prstGeom prst="rect">
          <a:avLst/>
        </a:prstGeom>
        <a:solidFill>
          <a:srgbClr val="FF0000">
            <a:alpha val="1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a:solidFill>
                <a:sysClr val="windowText" lastClr="000000"/>
              </a:solidFill>
            </a:rPr>
            <a:t>COVID-19 INTERRUPTION</a:t>
          </a:r>
        </a:p>
      </xdr:txBody>
    </xdr:sp>
    <xdr:clientData/>
  </xdr:twoCellAnchor>
  <xdr:twoCellAnchor>
    <xdr:from>
      <xdr:col>5</xdr:col>
      <xdr:colOff>9525</xdr:colOff>
      <xdr:row>3</xdr:row>
      <xdr:rowOff>0</xdr:rowOff>
    </xdr:from>
    <xdr:to>
      <xdr:col>13</xdr:col>
      <xdr:colOff>485775</xdr:colOff>
      <xdr:row>20</xdr:row>
      <xdr:rowOff>114299</xdr:rowOff>
    </xdr:to>
    <xdr:sp macro="" textlink="">
      <xdr:nvSpPr>
        <xdr:cNvPr id="6" name="Rectangle 5">
          <a:extLst>
            <a:ext uri="{FF2B5EF4-FFF2-40B4-BE49-F238E27FC236}">
              <a16:creationId xmlns:a16="http://schemas.microsoft.com/office/drawing/2014/main" id="{817A5E8E-3CFB-4C7B-9E99-B5D9845BD440}"/>
            </a:ext>
          </a:extLst>
        </xdr:cNvPr>
        <xdr:cNvSpPr/>
      </xdr:nvSpPr>
      <xdr:spPr>
        <a:xfrm>
          <a:off x="3733800" y="428625"/>
          <a:ext cx="5353050" cy="2543174"/>
        </a:xfrm>
        <a:prstGeom prst="rect">
          <a:avLst/>
        </a:prstGeom>
        <a:solidFill>
          <a:srgbClr val="3697C1">
            <a:alpha val="1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130" zoomScaleNormal="130" workbookViewId="0">
      <selection activeCell="C1" sqref="C1"/>
    </sheetView>
  </sheetViews>
  <sheetFormatPr defaultRowHeight="11.25" x14ac:dyDescent="0.2"/>
  <cols>
    <col min="1" max="1" width="2.7109375" style="27" customWidth="1"/>
    <col min="2" max="16384" width="9.140625" style="27"/>
  </cols>
  <sheetData/>
  <sheetProtection algorithmName="SHA-512" hashValue="AlWzX57hC/ReqtVnsFHiOYu7sg8ViQ0j98dgQZRfF6g8qZ7FTQZXi097YLDhEvFZxKycSsZ8yGOTv9KwEkp4Lg==" saltValue="G+nKUK9PygYU0hUGitBgZA==" spinCount="100000" sheet="1" objects="1" scenarios="1"/>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G160"/>
  <sheetViews>
    <sheetView showGridLines="0" tabSelected="1" workbookViewId="0"/>
  </sheetViews>
  <sheetFormatPr defaultRowHeight="11.25" x14ac:dyDescent="0.2"/>
  <cols>
    <col min="1" max="1" width="2.7109375" style="3" customWidth="1"/>
    <col min="2" max="2" width="39.28515625" style="3" bestFit="1" customWidth="1"/>
    <col min="3" max="5" width="10.7109375" style="3" customWidth="1"/>
    <col min="6" max="16384" width="9.140625" style="3"/>
  </cols>
  <sheetData>
    <row r="6" spans="1:3" x14ac:dyDescent="0.2">
      <c r="B6" s="3" t="s">
        <v>4</v>
      </c>
      <c r="C6" s="42">
        <v>43922</v>
      </c>
    </row>
    <row r="8" spans="1:3" s="28" customFormat="1" x14ac:dyDescent="0.2">
      <c r="A8" s="11" t="s">
        <v>40</v>
      </c>
      <c r="B8" s="12" t="s">
        <v>60</v>
      </c>
    </row>
    <row r="20" spans="1:5" x14ac:dyDescent="0.2">
      <c r="B20" s="1"/>
      <c r="C20" s="2">
        <f>EOMONTH(C6,0)</f>
        <v>43951</v>
      </c>
      <c r="D20" s="2">
        <f>EOMONTH(C20,1)</f>
        <v>43982</v>
      </c>
      <c r="E20" s="2">
        <f>EOMONTH(D20,1)</f>
        <v>44012</v>
      </c>
    </row>
    <row r="21" spans="1:5" x14ac:dyDescent="0.2">
      <c r="B21" s="1" t="s">
        <v>59</v>
      </c>
      <c r="C21" s="43">
        <v>5000</v>
      </c>
      <c r="D21" s="43">
        <v>10000</v>
      </c>
      <c r="E21" s="43">
        <v>5000</v>
      </c>
    </row>
    <row r="22" spans="1:5" x14ac:dyDescent="0.2">
      <c r="B22" s="1" t="s">
        <v>114</v>
      </c>
      <c r="C22" s="43">
        <v>25000</v>
      </c>
      <c r="D22" s="43">
        <v>0</v>
      </c>
      <c r="E22" s="43">
        <v>0</v>
      </c>
    </row>
    <row r="23" spans="1:5" ht="5.0999999999999996" customHeight="1" x14ac:dyDescent="0.2">
      <c r="B23" s="1"/>
      <c r="C23" s="29"/>
      <c r="D23" s="29"/>
      <c r="E23" s="29"/>
    </row>
    <row r="24" spans="1:5" x14ac:dyDescent="0.2">
      <c r="B24" s="1" t="s">
        <v>104</v>
      </c>
      <c r="C24" s="43">
        <v>-25000</v>
      </c>
      <c r="D24" s="43">
        <v>-18000</v>
      </c>
      <c r="E24" s="43">
        <v>-22000</v>
      </c>
    </row>
    <row r="25" spans="1:5" x14ac:dyDescent="0.2">
      <c r="B25" s="1" t="s">
        <v>0</v>
      </c>
      <c r="C25" s="43">
        <v>-5000</v>
      </c>
      <c r="D25" s="43">
        <v>-5000</v>
      </c>
      <c r="E25" s="43">
        <v>-5000</v>
      </c>
    </row>
    <row r="26" spans="1:5" x14ac:dyDescent="0.2">
      <c r="B26" s="1" t="s">
        <v>1</v>
      </c>
      <c r="C26" s="43">
        <v>-1000</v>
      </c>
      <c r="D26" s="43">
        <v>-1000</v>
      </c>
      <c r="E26" s="43">
        <v>-1000</v>
      </c>
    </row>
    <row r="27" spans="1:5" x14ac:dyDescent="0.2">
      <c r="B27" s="1" t="s">
        <v>2</v>
      </c>
      <c r="C27" s="43">
        <v>-10000</v>
      </c>
      <c r="D27" s="43">
        <v>-10000</v>
      </c>
      <c r="E27" s="43">
        <v>-10000</v>
      </c>
    </row>
    <row r="28" spans="1:5" x14ac:dyDescent="0.2">
      <c r="B28" s="1" t="s">
        <v>5</v>
      </c>
      <c r="C28" s="43">
        <v>0</v>
      </c>
      <c r="D28" s="43">
        <v>0</v>
      </c>
      <c r="E28" s="43">
        <v>-2500</v>
      </c>
    </row>
    <row r="29" spans="1:5" x14ac:dyDescent="0.2">
      <c r="C29" s="30"/>
    </row>
    <row r="30" spans="1:5" s="28" customFormat="1" x14ac:dyDescent="0.2">
      <c r="A30" s="11" t="s">
        <v>39</v>
      </c>
      <c r="B30" s="12" t="s">
        <v>41</v>
      </c>
    </row>
    <row r="41" spans="2:6" x14ac:dyDescent="0.2">
      <c r="C41" s="4"/>
      <c r="D41" s="4"/>
      <c r="E41" s="13">
        <f>C20</f>
        <v>43951</v>
      </c>
      <c r="F41" s="14" t="s">
        <v>42</v>
      </c>
    </row>
    <row r="42" spans="2:6" ht="33.75" x14ac:dyDescent="0.2">
      <c r="B42" s="5" t="s">
        <v>6</v>
      </c>
      <c r="C42" s="6" t="s">
        <v>7</v>
      </c>
      <c r="D42" s="6" t="s">
        <v>8</v>
      </c>
      <c r="E42" s="7" t="s">
        <v>9</v>
      </c>
      <c r="F42" s="7" t="s">
        <v>10</v>
      </c>
    </row>
    <row r="43" spans="2:6" x14ac:dyDescent="0.2">
      <c r="B43" s="44" t="s">
        <v>11</v>
      </c>
      <c r="C43" s="45">
        <v>1500</v>
      </c>
      <c r="D43" s="46" t="s">
        <v>12</v>
      </c>
      <c r="E43" s="31">
        <f t="shared" ref="E43:E44" si="0">IF(D43="YES",IF(C43&gt;2500, 3125*80%,C43*80%),0)</f>
        <v>1200</v>
      </c>
      <c r="F43" s="8">
        <f>C43-E43</f>
        <v>300</v>
      </c>
    </row>
    <row r="44" spans="2:6" x14ac:dyDescent="0.2">
      <c r="B44" s="44" t="s">
        <v>13</v>
      </c>
      <c r="C44" s="45">
        <v>2000</v>
      </c>
      <c r="D44" s="46" t="s">
        <v>12</v>
      </c>
      <c r="E44" s="31">
        <f t="shared" si="0"/>
        <v>1600</v>
      </c>
      <c r="F44" s="8">
        <f t="shared" ref="F44:F68" si="1">C44-E44</f>
        <v>400</v>
      </c>
    </row>
    <row r="45" spans="2:6" x14ac:dyDescent="0.2">
      <c r="B45" s="44" t="s">
        <v>15</v>
      </c>
      <c r="C45" s="45">
        <v>3200</v>
      </c>
      <c r="D45" s="46" t="s">
        <v>12</v>
      </c>
      <c r="E45" s="31">
        <f>IF(D45="YES",IF(C45&gt;2500, 3125*80%,C45*80%),0)</f>
        <v>2500</v>
      </c>
      <c r="F45" s="8">
        <f t="shared" si="1"/>
        <v>700</v>
      </c>
    </row>
    <row r="46" spans="2:6" x14ac:dyDescent="0.2">
      <c r="B46" s="44" t="s">
        <v>16</v>
      </c>
      <c r="C46" s="45">
        <v>1500</v>
      </c>
      <c r="D46" s="46" t="s">
        <v>14</v>
      </c>
      <c r="E46" s="31">
        <f t="shared" ref="E46:E68" si="2">IF(D46="YES",IF(C46&gt;2500, 3125*80%,C46*80%),0)</f>
        <v>0</v>
      </c>
      <c r="F46" s="8">
        <f t="shared" si="1"/>
        <v>1500</v>
      </c>
    </row>
    <row r="47" spans="2:6" x14ac:dyDescent="0.2">
      <c r="B47" s="44" t="s">
        <v>17</v>
      </c>
      <c r="C47" s="45">
        <v>1000</v>
      </c>
      <c r="D47" s="46" t="s">
        <v>14</v>
      </c>
      <c r="E47" s="31">
        <f t="shared" si="2"/>
        <v>0</v>
      </c>
      <c r="F47" s="8">
        <f t="shared" si="1"/>
        <v>1000</v>
      </c>
    </row>
    <row r="48" spans="2:6" x14ac:dyDescent="0.2">
      <c r="B48" s="44" t="s">
        <v>18</v>
      </c>
      <c r="C48" s="45">
        <v>1250</v>
      </c>
      <c r="D48" s="46" t="s">
        <v>14</v>
      </c>
      <c r="E48" s="31">
        <f t="shared" si="2"/>
        <v>0</v>
      </c>
      <c r="F48" s="8">
        <f t="shared" si="1"/>
        <v>1250</v>
      </c>
    </row>
    <row r="49" spans="2:6" x14ac:dyDescent="0.2">
      <c r="B49" s="44" t="s">
        <v>19</v>
      </c>
      <c r="C49" s="45">
        <v>4000</v>
      </c>
      <c r="D49" s="46" t="s">
        <v>12</v>
      </c>
      <c r="E49" s="31">
        <f t="shared" si="2"/>
        <v>2500</v>
      </c>
      <c r="F49" s="8">
        <f t="shared" si="1"/>
        <v>1500</v>
      </c>
    </row>
    <row r="50" spans="2:6" x14ac:dyDescent="0.2">
      <c r="B50" s="44" t="s">
        <v>20</v>
      </c>
      <c r="C50" s="45">
        <v>2500</v>
      </c>
      <c r="D50" s="46" t="s">
        <v>14</v>
      </c>
      <c r="E50" s="31">
        <f t="shared" si="2"/>
        <v>0</v>
      </c>
      <c r="F50" s="8">
        <f t="shared" si="1"/>
        <v>2500</v>
      </c>
    </row>
    <row r="51" spans="2:6" x14ac:dyDescent="0.2">
      <c r="B51" s="44" t="s">
        <v>21</v>
      </c>
      <c r="C51" s="45">
        <v>2250</v>
      </c>
      <c r="D51" s="46" t="s">
        <v>14</v>
      </c>
      <c r="E51" s="31">
        <f t="shared" si="2"/>
        <v>0</v>
      </c>
      <c r="F51" s="8">
        <f t="shared" si="1"/>
        <v>2250</v>
      </c>
    </row>
    <row r="52" spans="2:6" x14ac:dyDescent="0.2">
      <c r="B52" s="44" t="s">
        <v>22</v>
      </c>
      <c r="C52" s="45">
        <v>1750</v>
      </c>
      <c r="D52" s="46" t="s">
        <v>14</v>
      </c>
      <c r="E52" s="31">
        <f t="shared" si="2"/>
        <v>0</v>
      </c>
      <c r="F52" s="8">
        <f t="shared" si="1"/>
        <v>1750</v>
      </c>
    </row>
    <row r="53" spans="2:6" x14ac:dyDescent="0.2">
      <c r="B53" s="44" t="s">
        <v>23</v>
      </c>
      <c r="C53" s="45"/>
      <c r="D53" s="46"/>
      <c r="E53" s="31">
        <f t="shared" si="2"/>
        <v>0</v>
      </c>
      <c r="F53" s="8">
        <f t="shared" si="1"/>
        <v>0</v>
      </c>
    </row>
    <row r="54" spans="2:6" x14ac:dyDescent="0.2">
      <c r="B54" s="44" t="s">
        <v>24</v>
      </c>
      <c r="C54" s="45"/>
      <c r="D54" s="46"/>
      <c r="E54" s="31">
        <f t="shared" si="2"/>
        <v>0</v>
      </c>
      <c r="F54" s="8">
        <f t="shared" si="1"/>
        <v>0</v>
      </c>
    </row>
    <row r="55" spans="2:6" x14ac:dyDescent="0.2">
      <c r="B55" s="44" t="s">
        <v>25</v>
      </c>
      <c r="C55" s="45"/>
      <c r="D55" s="46"/>
      <c r="E55" s="31">
        <f t="shared" si="2"/>
        <v>0</v>
      </c>
      <c r="F55" s="8">
        <f t="shared" si="1"/>
        <v>0</v>
      </c>
    </row>
    <row r="56" spans="2:6" x14ac:dyDescent="0.2">
      <c r="B56" s="44" t="s">
        <v>26</v>
      </c>
      <c r="C56" s="45"/>
      <c r="D56" s="46"/>
      <c r="E56" s="31">
        <f t="shared" si="2"/>
        <v>0</v>
      </c>
      <c r="F56" s="8">
        <f t="shared" si="1"/>
        <v>0</v>
      </c>
    </row>
    <row r="57" spans="2:6" x14ac:dyDescent="0.2">
      <c r="B57" s="44" t="s">
        <v>27</v>
      </c>
      <c r="C57" s="45"/>
      <c r="D57" s="46"/>
      <c r="E57" s="31">
        <f t="shared" si="2"/>
        <v>0</v>
      </c>
      <c r="F57" s="8">
        <f t="shared" si="1"/>
        <v>0</v>
      </c>
    </row>
    <row r="58" spans="2:6" x14ac:dyDescent="0.2">
      <c r="B58" s="44" t="s">
        <v>28</v>
      </c>
      <c r="C58" s="45"/>
      <c r="D58" s="46"/>
      <c r="E58" s="31">
        <f t="shared" si="2"/>
        <v>0</v>
      </c>
      <c r="F58" s="8">
        <f t="shared" si="1"/>
        <v>0</v>
      </c>
    </row>
    <row r="59" spans="2:6" x14ac:dyDescent="0.2">
      <c r="B59" s="44" t="s">
        <v>29</v>
      </c>
      <c r="C59" s="45"/>
      <c r="D59" s="46"/>
      <c r="E59" s="31">
        <f t="shared" si="2"/>
        <v>0</v>
      </c>
      <c r="F59" s="8">
        <f t="shared" si="1"/>
        <v>0</v>
      </c>
    </row>
    <row r="60" spans="2:6" x14ac:dyDescent="0.2">
      <c r="B60" s="44" t="s">
        <v>30</v>
      </c>
      <c r="C60" s="45"/>
      <c r="D60" s="46"/>
      <c r="E60" s="31">
        <f t="shared" si="2"/>
        <v>0</v>
      </c>
      <c r="F60" s="8">
        <f t="shared" si="1"/>
        <v>0</v>
      </c>
    </row>
    <row r="61" spans="2:6" x14ac:dyDescent="0.2">
      <c r="B61" s="44" t="s">
        <v>31</v>
      </c>
      <c r="C61" s="45"/>
      <c r="D61" s="46"/>
      <c r="E61" s="31">
        <f t="shared" si="2"/>
        <v>0</v>
      </c>
      <c r="F61" s="8">
        <f t="shared" si="1"/>
        <v>0</v>
      </c>
    </row>
    <row r="62" spans="2:6" x14ac:dyDescent="0.2">
      <c r="B62" s="44" t="s">
        <v>32</v>
      </c>
      <c r="C62" s="45"/>
      <c r="D62" s="46"/>
      <c r="E62" s="31">
        <f t="shared" si="2"/>
        <v>0</v>
      </c>
      <c r="F62" s="8">
        <f t="shared" si="1"/>
        <v>0</v>
      </c>
    </row>
    <row r="63" spans="2:6" x14ac:dyDescent="0.2">
      <c r="B63" s="44" t="s">
        <v>32</v>
      </c>
      <c r="C63" s="45"/>
      <c r="D63" s="46"/>
      <c r="E63" s="31">
        <f t="shared" si="2"/>
        <v>0</v>
      </c>
      <c r="F63" s="8">
        <f t="shared" si="1"/>
        <v>0</v>
      </c>
    </row>
    <row r="64" spans="2:6" x14ac:dyDescent="0.2">
      <c r="B64" s="44" t="s">
        <v>33</v>
      </c>
      <c r="C64" s="45"/>
      <c r="D64" s="46"/>
      <c r="E64" s="31">
        <f t="shared" si="2"/>
        <v>0</v>
      </c>
      <c r="F64" s="8">
        <f t="shared" si="1"/>
        <v>0</v>
      </c>
    </row>
    <row r="65" spans="1:6" x14ac:dyDescent="0.2">
      <c r="B65" s="44" t="s">
        <v>34</v>
      </c>
      <c r="C65" s="45"/>
      <c r="D65" s="46"/>
      <c r="E65" s="31">
        <f t="shared" si="2"/>
        <v>0</v>
      </c>
      <c r="F65" s="8">
        <f t="shared" si="1"/>
        <v>0</v>
      </c>
    </row>
    <row r="66" spans="1:6" x14ac:dyDescent="0.2">
      <c r="B66" s="44" t="s">
        <v>35</v>
      </c>
      <c r="C66" s="45"/>
      <c r="D66" s="46"/>
      <c r="E66" s="31">
        <f t="shared" si="2"/>
        <v>0</v>
      </c>
      <c r="F66" s="8">
        <f t="shared" si="1"/>
        <v>0</v>
      </c>
    </row>
    <row r="67" spans="1:6" x14ac:dyDescent="0.2">
      <c r="B67" s="44" t="s">
        <v>36</v>
      </c>
      <c r="C67" s="45"/>
      <c r="D67" s="46"/>
      <c r="E67" s="31">
        <f t="shared" si="2"/>
        <v>0</v>
      </c>
      <c r="F67" s="8">
        <f t="shared" si="1"/>
        <v>0</v>
      </c>
    </row>
    <row r="68" spans="1:6" x14ac:dyDescent="0.2">
      <c r="B68" s="44" t="s">
        <v>37</v>
      </c>
      <c r="C68" s="45"/>
      <c r="D68" s="46"/>
      <c r="E68" s="31">
        <f t="shared" si="2"/>
        <v>0</v>
      </c>
      <c r="F68" s="8">
        <f t="shared" si="1"/>
        <v>0</v>
      </c>
    </row>
    <row r="69" spans="1:6" x14ac:dyDescent="0.2">
      <c r="B69" s="9" t="s">
        <v>38</v>
      </c>
      <c r="C69" s="10">
        <f>SUM(C43:C68)</f>
        <v>20950</v>
      </c>
      <c r="D69" s="10"/>
      <c r="E69" s="10">
        <f>SUM(E43:E68)</f>
        <v>7800</v>
      </c>
      <c r="F69" s="10">
        <f>SUM(F43:F68)</f>
        <v>13150</v>
      </c>
    </row>
    <row r="71" spans="1:6" hidden="1" x14ac:dyDescent="0.2">
      <c r="B71" s="3" t="s">
        <v>12</v>
      </c>
    </row>
    <row r="72" spans="1:6" hidden="1" x14ac:dyDescent="0.2">
      <c r="B72" s="3" t="s">
        <v>14</v>
      </c>
    </row>
    <row r="74" spans="1:6" s="28" customFormat="1" x14ac:dyDescent="0.2">
      <c r="A74" s="11" t="s">
        <v>44</v>
      </c>
      <c r="B74" s="12" t="s">
        <v>85</v>
      </c>
    </row>
    <row r="83" spans="2:4" x14ac:dyDescent="0.2">
      <c r="B83" s="23" t="s">
        <v>96</v>
      </c>
      <c r="C83" s="47" t="s">
        <v>98</v>
      </c>
    </row>
    <row r="84" spans="2:4" x14ac:dyDescent="0.2">
      <c r="B84" s="23" t="s">
        <v>103</v>
      </c>
      <c r="C84" s="48">
        <v>43958</v>
      </c>
    </row>
    <row r="85" spans="2:4" x14ac:dyDescent="0.2">
      <c r="B85" s="23" t="s">
        <v>105</v>
      </c>
      <c r="C85" s="49"/>
      <c r="D85" s="3" t="s">
        <v>113</v>
      </c>
    </row>
    <row r="86" spans="2:4" x14ac:dyDescent="0.2">
      <c r="B86" s="23"/>
      <c r="C86" s="32"/>
    </row>
    <row r="87" spans="2:4" x14ac:dyDescent="0.2">
      <c r="B87" s="23"/>
      <c r="C87" s="32"/>
    </row>
    <row r="88" spans="2:4" x14ac:dyDescent="0.2">
      <c r="B88" s="23"/>
      <c r="C88" s="32"/>
    </row>
    <row r="89" spans="2:4" x14ac:dyDescent="0.2">
      <c r="B89" s="23"/>
      <c r="C89" s="32"/>
    </row>
    <row r="90" spans="2:4" x14ac:dyDescent="0.2">
      <c r="B90" s="23"/>
      <c r="C90" s="32"/>
    </row>
    <row r="91" spans="2:4" x14ac:dyDescent="0.2">
      <c r="B91" s="23"/>
      <c r="C91" s="32"/>
    </row>
    <row r="92" spans="2:4" x14ac:dyDescent="0.2">
      <c r="B92" s="23"/>
      <c r="C92" s="32"/>
    </row>
    <row r="94" spans="2:4" hidden="1" x14ac:dyDescent="0.2">
      <c r="B94" s="3" t="s">
        <v>98</v>
      </c>
    </row>
    <row r="95" spans="2:4" hidden="1" x14ac:dyDescent="0.2">
      <c r="B95" s="3" t="s">
        <v>99</v>
      </c>
    </row>
    <row r="96" spans="2:4" hidden="1" x14ac:dyDescent="0.2"/>
    <row r="97" spans="1:3" hidden="1" x14ac:dyDescent="0.2">
      <c r="B97" s="3" t="s">
        <v>101</v>
      </c>
      <c r="C97" s="3">
        <f>MONTH(C6)</f>
        <v>4</v>
      </c>
    </row>
    <row r="98" spans="1:3" hidden="1" x14ac:dyDescent="0.2">
      <c r="B98" s="3" t="s">
        <v>100</v>
      </c>
      <c r="C98" s="3">
        <f>MONTH(C84)</f>
        <v>5</v>
      </c>
    </row>
    <row r="99" spans="1:3" hidden="1" x14ac:dyDescent="0.2">
      <c r="B99" s="3" t="s">
        <v>102</v>
      </c>
      <c r="C99" s="3">
        <f>IF(C83="Monthly",1,3+C97-C98)</f>
        <v>2</v>
      </c>
    </row>
    <row r="100" spans="1:3" hidden="1" x14ac:dyDescent="0.2"/>
    <row r="101" spans="1:3" hidden="1" x14ac:dyDescent="0.2"/>
    <row r="106" spans="1:3" s="28" customFormat="1" x14ac:dyDescent="0.2">
      <c r="A106" s="11" t="s">
        <v>61</v>
      </c>
      <c r="B106" s="12" t="s">
        <v>43</v>
      </c>
    </row>
    <row r="116" spans="2:7" x14ac:dyDescent="0.2">
      <c r="B116" s="15"/>
      <c r="C116" s="16">
        <f>C6</f>
        <v>43922</v>
      </c>
      <c r="E116" s="33">
        <f>C20</f>
        <v>43951</v>
      </c>
      <c r="F116" s="33">
        <f t="shared" ref="F116:G116" si="3">D20</f>
        <v>43982</v>
      </c>
      <c r="G116" s="33">
        <f t="shared" si="3"/>
        <v>44012</v>
      </c>
    </row>
    <row r="117" spans="2:7" x14ac:dyDescent="0.2">
      <c r="B117" s="17" t="s">
        <v>58</v>
      </c>
      <c r="C117" s="50">
        <v>3500000</v>
      </c>
      <c r="E117" s="34"/>
      <c r="F117" s="34"/>
      <c r="G117" s="34"/>
    </row>
    <row r="118" spans="2:7" x14ac:dyDescent="0.2">
      <c r="B118" s="17"/>
      <c r="C118" s="18"/>
      <c r="E118" s="34"/>
      <c r="F118" s="34"/>
      <c r="G118" s="34"/>
    </row>
    <row r="119" spans="2:7" x14ac:dyDescent="0.2">
      <c r="B119" s="15" t="s">
        <v>45</v>
      </c>
      <c r="C119" s="18"/>
      <c r="E119" s="34"/>
      <c r="F119" s="34"/>
      <c r="G119" s="34"/>
    </row>
    <row r="120" spans="2:7" x14ac:dyDescent="0.2">
      <c r="B120" s="17" t="s">
        <v>46</v>
      </c>
      <c r="C120" s="50">
        <v>60000</v>
      </c>
      <c r="E120" s="50"/>
      <c r="F120" s="50">
        <v>-25000</v>
      </c>
      <c r="G120" s="50">
        <v>-35000</v>
      </c>
    </row>
    <row r="121" spans="2:7" x14ac:dyDescent="0.2">
      <c r="B121" s="17" t="s">
        <v>47</v>
      </c>
      <c r="C121" s="50">
        <v>0</v>
      </c>
      <c r="E121" s="34"/>
      <c r="F121" s="34"/>
      <c r="G121" s="34"/>
    </row>
    <row r="122" spans="2:7" x14ac:dyDescent="0.2">
      <c r="B122" s="17" t="s">
        <v>48</v>
      </c>
      <c r="C122" s="50">
        <v>30000</v>
      </c>
      <c r="E122" s="50">
        <v>-5000</v>
      </c>
      <c r="F122" s="50">
        <v>-15000</v>
      </c>
      <c r="G122" s="50">
        <v>-10000</v>
      </c>
    </row>
    <row r="123" spans="2:7" x14ac:dyDescent="0.2">
      <c r="B123" s="17" t="s">
        <v>49</v>
      </c>
      <c r="C123" s="50">
        <v>0</v>
      </c>
      <c r="E123" s="34"/>
      <c r="F123" s="34"/>
      <c r="G123" s="34"/>
    </row>
    <row r="124" spans="2:7" x14ac:dyDescent="0.2">
      <c r="B124" s="17" t="s">
        <v>50</v>
      </c>
      <c r="C124" s="50">
        <v>2000</v>
      </c>
      <c r="E124" s="34"/>
      <c r="F124" s="34"/>
      <c r="G124" s="34"/>
    </row>
    <row r="125" spans="2:7" x14ac:dyDescent="0.2">
      <c r="B125" s="17" t="s">
        <v>51</v>
      </c>
      <c r="C125" s="50">
        <v>0</v>
      </c>
      <c r="E125" s="34"/>
      <c r="F125" s="34"/>
      <c r="G125" s="34"/>
    </row>
    <row r="126" spans="2:7" x14ac:dyDescent="0.2">
      <c r="B126" s="15" t="s">
        <v>38</v>
      </c>
      <c r="C126" s="19">
        <f>SUM(C120:C121)-SUM(C122:C125)</f>
        <v>28000</v>
      </c>
      <c r="E126" s="34"/>
      <c r="F126" s="34"/>
      <c r="G126" s="34"/>
    </row>
    <row r="127" spans="2:7" x14ac:dyDescent="0.2">
      <c r="B127" s="17"/>
      <c r="C127" s="18"/>
      <c r="E127" s="34"/>
      <c r="F127" s="34"/>
      <c r="G127" s="34"/>
    </row>
    <row r="128" spans="2:7" x14ac:dyDescent="0.2">
      <c r="B128" s="17" t="s">
        <v>52</v>
      </c>
      <c r="C128" s="50">
        <v>35000</v>
      </c>
      <c r="E128" s="34"/>
      <c r="F128" s="34"/>
      <c r="G128" s="34"/>
    </row>
    <row r="129" spans="1:7" x14ac:dyDescent="0.2">
      <c r="B129" s="17"/>
      <c r="C129" s="35"/>
      <c r="E129" s="34"/>
      <c r="F129" s="34"/>
      <c r="G129" s="34"/>
    </row>
    <row r="130" spans="1:7" x14ac:dyDescent="0.2">
      <c r="B130" s="17" t="s">
        <v>53</v>
      </c>
      <c r="C130" s="50">
        <v>650000</v>
      </c>
      <c r="D130" s="30"/>
      <c r="E130" s="50">
        <v>-5500</v>
      </c>
      <c r="F130" s="50">
        <v>-5500</v>
      </c>
      <c r="G130" s="50">
        <v>-5500</v>
      </c>
    </row>
    <row r="131" spans="1:7" x14ac:dyDescent="0.2">
      <c r="B131" s="15"/>
      <c r="C131" s="20"/>
      <c r="D131" s="36"/>
      <c r="E131" s="34"/>
      <c r="F131" s="34"/>
      <c r="G131" s="34"/>
    </row>
    <row r="132" spans="1:7" x14ac:dyDescent="0.2">
      <c r="B132" s="15" t="s">
        <v>54</v>
      </c>
      <c r="C132" s="20">
        <f>C117+C126+C128-C130</f>
        <v>2913000</v>
      </c>
      <c r="E132" s="34"/>
      <c r="F132" s="34"/>
      <c r="G132" s="34"/>
    </row>
    <row r="133" spans="1:7" x14ac:dyDescent="0.2">
      <c r="B133" s="17"/>
      <c r="C133" s="21"/>
      <c r="E133" s="34"/>
      <c r="F133" s="34"/>
      <c r="G133" s="34"/>
    </row>
    <row r="134" spans="1:7" x14ac:dyDescent="0.2">
      <c r="B134" s="15" t="s">
        <v>55</v>
      </c>
      <c r="C134" s="21"/>
      <c r="E134" s="34"/>
      <c r="F134" s="34"/>
      <c r="G134" s="34"/>
    </row>
    <row r="135" spans="1:7" x14ac:dyDescent="0.2">
      <c r="B135" s="17" t="s">
        <v>56</v>
      </c>
      <c r="C135" s="51">
        <v>2913000</v>
      </c>
      <c r="E135" s="34"/>
      <c r="F135" s="34"/>
      <c r="G135" s="34"/>
    </row>
    <row r="136" spans="1:7" x14ac:dyDescent="0.2">
      <c r="B136" s="17" t="s">
        <v>57</v>
      </c>
      <c r="C136" s="51"/>
      <c r="E136" s="34"/>
      <c r="F136" s="34"/>
      <c r="G136" s="34"/>
    </row>
    <row r="137" spans="1:7" x14ac:dyDescent="0.2">
      <c r="B137" s="15" t="s">
        <v>38</v>
      </c>
      <c r="C137" s="20">
        <f>SUM(C135:C136)</f>
        <v>2913000</v>
      </c>
      <c r="E137" s="34"/>
      <c r="F137" s="34"/>
      <c r="G137" s="34"/>
    </row>
    <row r="138" spans="1:7" x14ac:dyDescent="0.2">
      <c r="E138" s="34"/>
      <c r="F138" s="34"/>
      <c r="G138" s="34"/>
    </row>
    <row r="139" spans="1:7" x14ac:dyDescent="0.2">
      <c r="B139" s="3" t="s">
        <v>89</v>
      </c>
      <c r="C139" s="30">
        <f>C137-C132</f>
        <v>0</v>
      </c>
      <c r="E139" s="34"/>
      <c r="F139" s="34"/>
      <c r="G139" s="34"/>
    </row>
    <row r="141" spans="1:7" s="28" customFormat="1" x14ac:dyDescent="0.2">
      <c r="A141" s="11" t="s">
        <v>95</v>
      </c>
      <c r="B141" s="12" t="s">
        <v>62</v>
      </c>
    </row>
    <row r="149" spans="2:4" s="39" customFormat="1" x14ac:dyDescent="0.2">
      <c r="B149" s="37"/>
      <c r="C149" s="38" t="s">
        <v>70</v>
      </c>
    </row>
    <row r="150" spans="2:4" x14ac:dyDescent="0.2">
      <c r="B150" s="1" t="s">
        <v>77</v>
      </c>
      <c r="C150" s="50">
        <v>1200000</v>
      </c>
      <c r="D150" s="36"/>
    </row>
    <row r="151" spans="2:4" x14ac:dyDescent="0.2">
      <c r="B151" s="1" t="s">
        <v>72</v>
      </c>
      <c r="C151" s="50">
        <v>300000</v>
      </c>
      <c r="D151" s="36"/>
    </row>
    <row r="152" spans="2:4" s="39" customFormat="1" x14ac:dyDescent="0.2">
      <c r="B152" s="37" t="s">
        <v>64</v>
      </c>
      <c r="C152" s="40">
        <f>C150-C151</f>
        <v>900000</v>
      </c>
    </row>
    <row r="153" spans="2:4" x14ac:dyDescent="0.2">
      <c r="B153" s="1" t="s">
        <v>71</v>
      </c>
      <c r="C153" s="50">
        <v>240000</v>
      </c>
    </row>
    <row r="154" spans="2:4" x14ac:dyDescent="0.2">
      <c r="B154" s="1" t="s">
        <v>65</v>
      </c>
      <c r="C154" s="50">
        <v>270000</v>
      </c>
      <c r="D154" s="36"/>
    </row>
    <row r="155" spans="2:4" x14ac:dyDescent="0.2">
      <c r="B155" s="1" t="s">
        <v>66</v>
      </c>
      <c r="C155" s="50">
        <v>15000</v>
      </c>
      <c r="D155" s="36"/>
    </row>
    <row r="156" spans="2:4" x14ac:dyDescent="0.2">
      <c r="B156" s="1" t="s">
        <v>67</v>
      </c>
      <c r="C156" s="50">
        <v>150000</v>
      </c>
      <c r="D156" s="36"/>
    </row>
    <row r="157" spans="2:4" x14ac:dyDescent="0.2">
      <c r="B157" s="1" t="s">
        <v>68</v>
      </c>
      <c r="C157" s="50">
        <v>20000</v>
      </c>
    </row>
    <row r="158" spans="2:4" s="39" customFormat="1" x14ac:dyDescent="0.2">
      <c r="B158" s="37" t="s">
        <v>69</v>
      </c>
      <c r="C158" s="41">
        <f>C152-SUM(C153:C157)</f>
        <v>205000</v>
      </c>
    </row>
    <row r="159" spans="2:4" x14ac:dyDescent="0.2">
      <c r="B159" s="1" t="s">
        <v>74</v>
      </c>
      <c r="C159" s="50">
        <v>30000</v>
      </c>
    </row>
    <row r="160" spans="2:4" s="39" customFormat="1" x14ac:dyDescent="0.2">
      <c r="B160" s="37" t="s">
        <v>73</v>
      </c>
      <c r="C160" s="40">
        <f>C158-C159</f>
        <v>175000</v>
      </c>
    </row>
  </sheetData>
  <sheetProtection algorithmName="SHA-512" hashValue="QmjyeO5IEJkM26uQZZrH/sA7XpuiFccWB4BBi6S1amCh7t7DidJOqTI4aCVckHyvf+NcUFN0TMjFOJI8h27ZCQ==" saltValue="p2m62nGfUEUvHHbHSg9yKg==" spinCount="100000" sheet="1" objects="1" scenarios="1"/>
  <dataValidations count="2">
    <dataValidation type="list" allowBlank="1" showInputMessage="1" showErrorMessage="1" sqref="C83">
      <formula1>$B$94:$B$95</formula1>
    </dataValidation>
    <dataValidation type="list" allowBlank="1" showInputMessage="1" showErrorMessage="1" sqref="D43:D68">
      <formula1>$B$71:$B$72</formula1>
    </dataValidation>
  </dataValidations>
  <pageMargins left="0.7" right="0.7" top="0.75" bottom="0.75" header="0.3" footer="0.3"/>
  <pageSetup paperSize="9" scale="78"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65"/>
  <sheetViews>
    <sheetView showGridLines="0" topLeftCell="A27" workbookViewId="0">
      <selection activeCell="C27" sqref="C27"/>
    </sheetView>
  </sheetViews>
  <sheetFormatPr defaultRowHeight="11.25" x14ac:dyDescent="0.2"/>
  <cols>
    <col min="1" max="1" width="2.7109375" style="3" customWidth="1"/>
    <col min="2" max="2" width="25.7109375" style="3" bestFit="1" customWidth="1"/>
    <col min="3" max="16384" width="9.140625" style="3"/>
  </cols>
  <sheetData>
    <row r="2" spans="2:2" x14ac:dyDescent="0.2">
      <c r="B2" s="39" t="s">
        <v>111</v>
      </c>
    </row>
    <row r="23" spans="2:14" s="53" customFormat="1" ht="21.75" customHeight="1" x14ac:dyDescent="0.25">
      <c r="B23" s="52"/>
      <c r="C23" s="25">
        <f>Inputs!C20</f>
        <v>43951</v>
      </c>
      <c r="D23" s="25">
        <f>EOMONTH(C23,1)</f>
        <v>43982</v>
      </c>
      <c r="E23" s="25">
        <f t="shared" ref="E23:N23" si="0">EOMONTH(D23,1)</f>
        <v>44012</v>
      </c>
      <c r="F23" s="25">
        <f t="shared" si="0"/>
        <v>44043</v>
      </c>
      <c r="G23" s="25">
        <f t="shared" si="0"/>
        <v>44074</v>
      </c>
      <c r="H23" s="25">
        <f t="shared" si="0"/>
        <v>44104</v>
      </c>
      <c r="I23" s="25">
        <f t="shared" si="0"/>
        <v>44135</v>
      </c>
      <c r="J23" s="25">
        <f t="shared" si="0"/>
        <v>44165</v>
      </c>
      <c r="K23" s="25">
        <f t="shared" si="0"/>
        <v>44196</v>
      </c>
      <c r="L23" s="25">
        <f t="shared" si="0"/>
        <v>44227</v>
      </c>
      <c r="M23" s="25">
        <f t="shared" si="0"/>
        <v>44255</v>
      </c>
      <c r="N23" s="26">
        <f t="shared" si="0"/>
        <v>44286</v>
      </c>
    </row>
    <row r="24" spans="2:14" x14ac:dyDescent="0.2">
      <c r="B24" s="54" t="s">
        <v>75</v>
      </c>
      <c r="C24" s="55">
        <f>Inputs!C128</f>
        <v>35000</v>
      </c>
      <c r="D24" s="55">
        <f>C46</f>
        <v>-14650</v>
      </c>
      <c r="E24" s="55">
        <f t="shared" ref="E24:N24" si="1">D46</f>
        <v>-44300</v>
      </c>
      <c r="F24" s="56">
        <f t="shared" si="1"/>
        <v>-80550</v>
      </c>
      <c r="G24" s="56">
        <f t="shared" si="1"/>
        <v>-60500</v>
      </c>
      <c r="H24" s="56">
        <f t="shared" si="1"/>
        <v>-21350</v>
      </c>
      <c r="I24" s="56">
        <f t="shared" si="1"/>
        <v>-1300</v>
      </c>
      <c r="J24" s="56">
        <f t="shared" si="1"/>
        <v>18750</v>
      </c>
      <c r="K24" s="56">
        <f t="shared" si="1"/>
        <v>15550</v>
      </c>
      <c r="L24" s="56">
        <f t="shared" si="1"/>
        <v>35600</v>
      </c>
      <c r="M24" s="56">
        <f t="shared" si="1"/>
        <v>55650</v>
      </c>
      <c r="N24" s="57">
        <f t="shared" si="1"/>
        <v>52450</v>
      </c>
    </row>
    <row r="25" spans="2:14" x14ac:dyDescent="0.2">
      <c r="B25" s="54"/>
      <c r="C25" s="55"/>
      <c r="D25" s="55"/>
      <c r="E25" s="55"/>
      <c r="F25" s="56"/>
      <c r="G25" s="56"/>
      <c r="H25" s="56"/>
      <c r="I25" s="56"/>
      <c r="J25" s="56"/>
      <c r="K25" s="56"/>
      <c r="L25" s="56"/>
      <c r="M25" s="56"/>
      <c r="N25" s="57"/>
    </row>
    <row r="26" spans="2:14" x14ac:dyDescent="0.2">
      <c r="B26" s="58" t="s">
        <v>76</v>
      </c>
      <c r="C26" s="55"/>
      <c r="D26" s="55"/>
      <c r="E26" s="55"/>
      <c r="F26" s="56"/>
      <c r="G26" s="56"/>
      <c r="H26" s="56"/>
      <c r="I26" s="56"/>
      <c r="J26" s="56"/>
      <c r="K26" s="56"/>
      <c r="L26" s="56"/>
      <c r="M26" s="56"/>
      <c r="N26" s="57"/>
    </row>
    <row r="27" spans="2:14" x14ac:dyDescent="0.2">
      <c r="B27" s="54" t="s">
        <v>77</v>
      </c>
      <c r="C27" s="55">
        <f>Inputs!C21*120%</f>
        <v>6000</v>
      </c>
      <c r="D27" s="55">
        <f>Inputs!D21*120%</f>
        <v>12000</v>
      </c>
      <c r="E27" s="55">
        <f>Inputs!E21*120%</f>
        <v>6000</v>
      </c>
      <c r="F27" s="56">
        <f>Inputs!C150/12*120%</f>
        <v>120000</v>
      </c>
      <c r="G27" s="56">
        <f>F27</f>
        <v>120000</v>
      </c>
      <c r="H27" s="56">
        <f t="shared" ref="H27:N27" si="2">G27</f>
        <v>120000</v>
      </c>
      <c r="I27" s="56">
        <f t="shared" si="2"/>
        <v>120000</v>
      </c>
      <c r="J27" s="56">
        <f t="shared" si="2"/>
        <v>120000</v>
      </c>
      <c r="K27" s="56">
        <f t="shared" si="2"/>
        <v>120000</v>
      </c>
      <c r="L27" s="56">
        <f t="shared" si="2"/>
        <v>120000</v>
      </c>
      <c r="M27" s="56">
        <f t="shared" si="2"/>
        <v>120000</v>
      </c>
      <c r="N27" s="57">
        <f t="shared" si="2"/>
        <v>120000</v>
      </c>
    </row>
    <row r="28" spans="2:14" x14ac:dyDescent="0.2">
      <c r="B28" s="54" t="s">
        <v>109</v>
      </c>
      <c r="C28" s="59">
        <f>-Inputs!E120</f>
        <v>0</v>
      </c>
      <c r="D28" s="55">
        <f>-Inputs!F120</f>
        <v>25000</v>
      </c>
      <c r="E28" s="55">
        <f>-Inputs!G120</f>
        <v>35000</v>
      </c>
      <c r="F28" s="60">
        <v>0</v>
      </c>
      <c r="G28" s="60">
        <v>0</v>
      </c>
      <c r="H28" s="60">
        <v>0</v>
      </c>
      <c r="I28" s="60">
        <v>0</v>
      </c>
      <c r="J28" s="60">
        <v>0</v>
      </c>
      <c r="K28" s="60">
        <v>0</v>
      </c>
      <c r="L28" s="60">
        <v>0</v>
      </c>
      <c r="M28" s="60">
        <v>0</v>
      </c>
      <c r="N28" s="61">
        <v>0</v>
      </c>
    </row>
    <row r="29" spans="2:14" x14ac:dyDescent="0.2">
      <c r="B29" s="54" t="s">
        <v>115</v>
      </c>
      <c r="C29" s="87">
        <f>Inputs!C22</f>
        <v>25000</v>
      </c>
      <c r="D29" s="87">
        <f>Inputs!D22</f>
        <v>0</v>
      </c>
      <c r="E29" s="87">
        <f>Inputs!E22</f>
        <v>0</v>
      </c>
      <c r="F29" s="64"/>
      <c r="G29" s="64"/>
      <c r="H29" s="64"/>
      <c r="I29" s="64"/>
      <c r="J29" s="64"/>
      <c r="K29" s="64"/>
      <c r="L29" s="64"/>
      <c r="M29" s="64"/>
      <c r="N29" s="65"/>
    </row>
    <row r="30" spans="2:14" x14ac:dyDescent="0.2">
      <c r="B30" s="54" t="s">
        <v>78</v>
      </c>
      <c r="C30" s="62">
        <v>0</v>
      </c>
      <c r="D30" s="63">
        <f>Inputs!E69*2</f>
        <v>15600</v>
      </c>
      <c r="E30" s="63">
        <f>Inputs!E69</f>
        <v>7800</v>
      </c>
      <c r="F30" s="64">
        <v>0</v>
      </c>
      <c r="G30" s="64">
        <v>0</v>
      </c>
      <c r="H30" s="64">
        <v>0</v>
      </c>
      <c r="I30" s="64">
        <v>0</v>
      </c>
      <c r="J30" s="64">
        <v>0</v>
      </c>
      <c r="K30" s="64">
        <v>0</v>
      </c>
      <c r="L30" s="64">
        <v>0</v>
      </c>
      <c r="M30" s="64">
        <v>0</v>
      </c>
      <c r="N30" s="65">
        <v>0</v>
      </c>
    </row>
    <row r="31" spans="2:14" s="39" customFormat="1" x14ac:dyDescent="0.2">
      <c r="B31" s="58" t="s">
        <v>87</v>
      </c>
      <c r="C31" s="66">
        <f t="shared" ref="C31:N31" si="3">SUM(C27:C30)</f>
        <v>31000</v>
      </c>
      <c r="D31" s="66">
        <f t="shared" si="3"/>
        <v>52600</v>
      </c>
      <c r="E31" s="66">
        <f t="shared" si="3"/>
        <v>48800</v>
      </c>
      <c r="F31" s="67">
        <f t="shared" si="3"/>
        <v>120000</v>
      </c>
      <c r="G31" s="67">
        <f t="shared" si="3"/>
        <v>120000</v>
      </c>
      <c r="H31" s="67">
        <f t="shared" si="3"/>
        <v>120000</v>
      </c>
      <c r="I31" s="67">
        <f t="shared" si="3"/>
        <v>120000</v>
      </c>
      <c r="J31" s="67">
        <f t="shared" si="3"/>
        <v>120000</v>
      </c>
      <c r="K31" s="67">
        <f t="shared" si="3"/>
        <v>120000</v>
      </c>
      <c r="L31" s="67">
        <f t="shared" si="3"/>
        <v>120000</v>
      </c>
      <c r="M31" s="67">
        <f t="shared" si="3"/>
        <v>120000</v>
      </c>
      <c r="N31" s="68">
        <f t="shared" si="3"/>
        <v>120000</v>
      </c>
    </row>
    <row r="32" spans="2:14" x14ac:dyDescent="0.2">
      <c r="B32" s="54"/>
      <c r="C32" s="55"/>
      <c r="D32" s="55"/>
      <c r="E32" s="55"/>
      <c r="F32" s="56"/>
      <c r="G32" s="56"/>
      <c r="H32" s="56"/>
      <c r="I32" s="56"/>
      <c r="J32" s="56"/>
      <c r="K32" s="56"/>
      <c r="L32" s="56"/>
      <c r="M32" s="56"/>
      <c r="N32" s="57"/>
    </row>
    <row r="33" spans="2:14" x14ac:dyDescent="0.2">
      <c r="B33" s="58" t="s">
        <v>79</v>
      </c>
      <c r="C33" s="55"/>
      <c r="D33" s="55"/>
      <c r="E33" s="55"/>
      <c r="F33" s="56"/>
      <c r="G33" s="56"/>
      <c r="H33" s="56"/>
      <c r="I33" s="56"/>
      <c r="J33" s="56"/>
      <c r="K33" s="56"/>
      <c r="L33" s="56"/>
      <c r="M33" s="56"/>
      <c r="N33" s="57"/>
    </row>
    <row r="34" spans="2:14" x14ac:dyDescent="0.2">
      <c r="B34" s="54" t="s">
        <v>63</v>
      </c>
      <c r="C34" s="55">
        <f>Inputs!C24*120%</f>
        <v>-30000</v>
      </c>
      <c r="D34" s="55">
        <f>Inputs!D24*120%</f>
        <v>-21600</v>
      </c>
      <c r="E34" s="55">
        <f>Inputs!E24*120%</f>
        <v>-26400</v>
      </c>
      <c r="F34" s="56">
        <f>-Inputs!C151/12*120%</f>
        <v>-30000</v>
      </c>
      <c r="G34" s="56">
        <f>F34</f>
        <v>-30000</v>
      </c>
      <c r="H34" s="56">
        <f t="shared" ref="H34:N34" si="4">G34</f>
        <v>-30000</v>
      </c>
      <c r="I34" s="56">
        <f t="shared" si="4"/>
        <v>-30000</v>
      </c>
      <c r="J34" s="56">
        <f t="shared" si="4"/>
        <v>-30000</v>
      </c>
      <c r="K34" s="56">
        <f t="shared" si="4"/>
        <v>-30000</v>
      </c>
      <c r="L34" s="56">
        <f t="shared" si="4"/>
        <v>-30000</v>
      </c>
      <c r="M34" s="56">
        <f t="shared" si="4"/>
        <v>-30000</v>
      </c>
      <c r="N34" s="57">
        <f t="shared" si="4"/>
        <v>-30000</v>
      </c>
    </row>
    <row r="35" spans="2:14" x14ac:dyDescent="0.2">
      <c r="B35" s="54" t="s">
        <v>84</v>
      </c>
      <c r="C35" s="55">
        <f>-Inputs!C69</f>
        <v>-20950</v>
      </c>
      <c r="D35" s="55">
        <f>-Inputs!C69</f>
        <v>-20950</v>
      </c>
      <c r="E35" s="55">
        <f>-Inputs!C69</f>
        <v>-20950</v>
      </c>
      <c r="F35" s="56">
        <f>E35</f>
        <v>-20950</v>
      </c>
      <c r="G35" s="56">
        <f t="shared" ref="G35:N35" si="5">F35</f>
        <v>-20950</v>
      </c>
      <c r="H35" s="56">
        <f t="shared" si="5"/>
        <v>-20950</v>
      </c>
      <c r="I35" s="56">
        <f t="shared" si="5"/>
        <v>-20950</v>
      </c>
      <c r="J35" s="56">
        <f t="shared" si="5"/>
        <v>-20950</v>
      </c>
      <c r="K35" s="56">
        <f t="shared" si="5"/>
        <v>-20950</v>
      </c>
      <c r="L35" s="56">
        <f t="shared" si="5"/>
        <v>-20950</v>
      </c>
      <c r="M35" s="56">
        <f t="shared" si="5"/>
        <v>-20950</v>
      </c>
      <c r="N35" s="57">
        <f t="shared" si="5"/>
        <v>-20950</v>
      </c>
    </row>
    <row r="36" spans="2:14" x14ac:dyDescent="0.2">
      <c r="B36" s="54" t="s">
        <v>83</v>
      </c>
      <c r="C36" s="55">
        <f>Inputs!C25*120%</f>
        <v>-6000</v>
      </c>
      <c r="D36" s="55">
        <f>Inputs!D25*120%</f>
        <v>-6000</v>
      </c>
      <c r="E36" s="55">
        <f>Inputs!E25*120%</f>
        <v>-6000</v>
      </c>
      <c r="F36" s="56">
        <f>-Inputs!C154/12*120%</f>
        <v>-27000</v>
      </c>
      <c r="G36" s="56">
        <f>F36</f>
        <v>-27000</v>
      </c>
      <c r="H36" s="56">
        <f t="shared" ref="H36:N36" si="6">G36</f>
        <v>-27000</v>
      </c>
      <c r="I36" s="56">
        <f t="shared" si="6"/>
        <v>-27000</v>
      </c>
      <c r="J36" s="56">
        <f t="shared" si="6"/>
        <v>-27000</v>
      </c>
      <c r="K36" s="56">
        <f t="shared" si="6"/>
        <v>-27000</v>
      </c>
      <c r="L36" s="56">
        <f t="shared" si="6"/>
        <v>-27000</v>
      </c>
      <c r="M36" s="56">
        <f t="shared" si="6"/>
        <v>-27000</v>
      </c>
      <c r="N36" s="57">
        <f t="shared" si="6"/>
        <v>-27000</v>
      </c>
    </row>
    <row r="37" spans="2:14" x14ac:dyDescent="0.2">
      <c r="B37" s="54" t="s">
        <v>80</v>
      </c>
      <c r="C37" s="55">
        <f>Inputs!C26*120%</f>
        <v>-1200</v>
      </c>
      <c r="D37" s="55">
        <f>Inputs!D26*120%</f>
        <v>-1200</v>
      </c>
      <c r="E37" s="55">
        <f>Inputs!E26*120%</f>
        <v>-1200</v>
      </c>
      <c r="F37" s="56">
        <f>-Inputs!C155/12*120%</f>
        <v>-1500</v>
      </c>
      <c r="G37" s="56">
        <f>F37</f>
        <v>-1500</v>
      </c>
      <c r="H37" s="56">
        <f t="shared" ref="H37:N37" si="7">G37</f>
        <v>-1500</v>
      </c>
      <c r="I37" s="56">
        <f t="shared" si="7"/>
        <v>-1500</v>
      </c>
      <c r="J37" s="56">
        <f t="shared" si="7"/>
        <v>-1500</v>
      </c>
      <c r="K37" s="56">
        <f t="shared" si="7"/>
        <v>-1500</v>
      </c>
      <c r="L37" s="56">
        <f t="shared" si="7"/>
        <v>-1500</v>
      </c>
      <c r="M37" s="56">
        <f t="shared" si="7"/>
        <v>-1500</v>
      </c>
      <c r="N37" s="57">
        <f t="shared" si="7"/>
        <v>-1500</v>
      </c>
    </row>
    <row r="38" spans="2:14" x14ac:dyDescent="0.2">
      <c r="B38" s="54" t="s">
        <v>81</v>
      </c>
      <c r="C38" s="55">
        <f>Inputs!C27*120%</f>
        <v>-12000</v>
      </c>
      <c r="D38" s="55">
        <f>Inputs!D27*120%</f>
        <v>-12000</v>
      </c>
      <c r="E38" s="55">
        <f>Inputs!E27*120%</f>
        <v>-12000</v>
      </c>
      <c r="F38" s="56">
        <f>-Inputs!C156/12*120%</f>
        <v>-15000</v>
      </c>
      <c r="G38" s="56">
        <f>F38</f>
        <v>-15000</v>
      </c>
      <c r="H38" s="56">
        <f t="shared" ref="H38:N38" si="8">G38</f>
        <v>-15000</v>
      </c>
      <c r="I38" s="56">
        <f t="shared" si="8"/>
        <v>-15000</v>
      </c>
      <c r="J38" s="56">
        <f t="shared" si="8"/>
        <v>-15000</v>
      </c>
      <c r="K38" s="56">
        <f t="shared" si="8"/>
        <v>-15000</v>
      </c>
      <c r="L38" s="56">
        <f t="shared" si="8"/>
        <v>-15000</v>
      </c>
      <c r="M38" s="56">
        <f t="shared" si="8"/>
        <v>-15000</v>
      </c>
      <c r="N38" s="57">
        <f t="shared" si="8"/>
        <v>-15000</v>
      </c>
    </row>
    <row r="39" spans="2:14" x14ac:dyDescent="0.2">
      <c r="B39" s="54" t="s">
        <v>110</v>
      </c>
      <c r="C39" s="55">
        <f>Inputs!E122</f>
        <v>-5000</v>
      </c>
      <c r="D39" s="55">
        <f>Inputs!F122</f>
        <v>-15000</v>
      </c>
      <c r="E39" s="55">
        <f>Inputs!G122</f>
        <v>-10000</v>
      </c>
      <c r="F39" s="60">
        <v>0</v>
      </c>
      <c r="G39" s="60">
        <v>0</v>
      </c>
      <c r="H39" s="60">
        <v>0</v>
      </c>
      <c r="I39" s="60">
        <v>0</v>
      </c>
      <c r="J39" s="60">
        <v>0</v>
      </c>
      <c r="K39" s="60">
        <v>0</v>
      </c>
      <c r="L39" s="60">
        <v>0</v>
      </c>
      <c r="M39" s="60">
        <v>0</v>
      </c>
      <c r="N39" s="61">
        <v>0</v>
      </c>
    </row>
    <row r="40" spans="2:14" x14ac:dyDescent="0.2">
      <c r="B40" s="54" t="s">
        <v>112</v>
      </c>
      <c r="C40" s="55">
        <f>IF(C59&gt;0,C59,0)</f>
        <v>0</v>
      </c>
      <c r="D40" s="55">
        <f t="shared" ref="D40:E40" si="9">IF(D59&gt;0,D59,0)</f>
        <v>0</v>
      </c>
      <c r="E40" s="55">
        <f t="shared" si="9"/>
        <v>0</v>
      </c>
      <c r="F40" s="56">
        <f>F59</f>
        <v>0</v>
      </c>
      <c r="G40" s="56">
        <f t="shared" ref="G40:N40" si="10">G59</f>
        <v>19100</v>
      </c>
      <c r="H40" s="56">
        <f t="shared" si="10"/>
        <v>0</v>
      </c>
      <c r="I40" s="56">
        <f t="shared" si="10"/>
        <v>0</v>
      </c>
      <c r="J40" s="56">
        <f t="shared" si="10"/>
        <v>-23250</v>
      </c>
      <c r="K40" s="56">
        <f t="shared" si="10"/>
        <v>0</v>
      </c>
      <c r="L40" s="56">
        <f t="shared" si="10"/>
        <v>0</v>
      </c>
      <c r="M40" s="56">
        <f t="shared" si="10"/>
        <v>-23250</v>
      </c>
      <c r="N40" s="57">
        <f t="shared" si="10"/>
        <v>0</v>
      </c>
    </row>
    <row r="41" spans="2:14" x14ac:dyDescent="0.2">
      <c r="B41" s="54" t="s">
        <v>106</v>
      </c>
      <c r="C41" s="59">
        <v>0</v>
      </c>
      <c r="D41" s="59">
        <v>0</v>
      </c>
      <c r="E41" s="59">
        <v>0</v>
      </c>
      <c r="F41" s="60">
        <v>0</v>
      </c>
      <c r="G41" s="60">
        <v>0</v>
      </c>
      <c r="H41" s="60">
        <v>0</v>
      </c>
      <c r="I41" s="60">
        <v>0</v>
      </c>
      <c r="J41" s="60">
        <v>0</v>
      </c>
      <c r="K41" s="60">
        <v>0</v>
      </c>
      <c r="L41" s="60">
        <v>0</v>
      </c>
      <c r="M41" s="60">
        <v>0</v>
      </c>
      <c r="N41" s="57">
        <f>IF(SUM(C59:E59)&lt;0,SUM(C59:E59),0)</f>
        <v>-2000</v>
      </c>
    </row>
    <row r="42" spans="2:14" x14ac:dyDescent="0.2">
      <c r="B42" s="54" t="s">
        <v>82</v>
      </c>
      <c r="C42" s="59">
        <f>Inputs!C28*120%</f>
        <v>0</v>
      </c>
      <c r="D42" s="59">
        <f>Inputs!D28*120%</f>
        <v>0</v>
      </c>
      <c r="E42" s="55">
        <f>Inputs!E28*120%</f>
        <v>-3000</v>
      </c>
      <c r="F42" s="60">
        <v>0</v>
      </c>
      <c r="G42" s="60">
        <v>0</v>
      </c>
      <c r="H42" s="60">
        <v>0</v>
      </c>
      <c r="I42" s="60">
        <v>0</v>
      </c>
      <c r="J42" s="60">
        <v>0</v>
      </c>
      <c r="K42" s="60">
        <v>0</v>
      </c>
      <c r="L42" s="60">
        <v>0</v>
      </c>
      <c r="M42" s="60">
        <v>0</v>
      </c>
      <c r="N42" s="61">
        <v>0</v>
      </c>
    </row>
    <row r="43" spans="2:14" x14ac:dyDescent="0.2">
      <c r="B43" s="54" t="s">
        <v>3</v>
      </c>
      <c r="C43" s="63">
        <f>Inputs!E130</f>
        <v>-5500</v>
      </c>
      <c r="D43" s="63">
        <f>Inputs!F130</f>
        <v>-5500</v>
      </c>
      <c r="E43" s="63">
        <f>Inputs!G130</f>
        <v>-5500</v>
      </c>
      <c r="F43" s="69">
        <f>E43</f>
        <v>-5500</v>
      </c>
      <c r="G43" s="69">
        <f t="shared" ref="G43:N43" si="11">F43</f>
        <v>-5500</v>
      </c>
      <c r="H43" s="69">
        <f t="shared" si="11"/>
        <v>-5500</v>
      </c>
      <c r="I43" s="69">
        <f t="shared" si="11"/>
        <v>-5500</v>
      </c>
      <c r="J43" s="69">
        <f t="shared" si="11"/>
        <v>-5500</v>
      </c>
      <c r="K43" s="69">
        <f t="shared" si="11"/>
        <v>-5500</v>
      </c>
      <c r="L43" s="69">
        <f t="shared" si="11"/>
        <v>-5500</v>
      </c>
      <c r="M43" s="69">
        <f t="shared" si="11"/>
        <v>-5500</v>
      </c>
      <c r="N43" s="70">
        <f t="shared" si="11"/>
        <v>-5500</v>
      </c>
    </row>
    <row r="44" spans="2:14" s="39" customFormat="1" x14ac:dyDescent="0.2">
      <c r="B44" s="58" t="s">
        <v>88</v>
      </c>
      <c r="C44" s="66">
        <f t="shared" ref="C44:N44" si="12">SUM(C34:C43)</f>
        <v>-80650</v>
      </c>
      <c r="D44" s="66">
        <f t="shared" si="12"/>
        <v>-82250</v>
      </c>
      <c r="E44" s="66">
        <f t="shared" si="12"/>
        <v>-85050</v>
      </c>
      <c r="F44" s="67">
        <f t="shared" si="12"/>
        <v>-99950</v>
      </c>
      <c r="G44" s="67">
        <f t="shared" si="12"/>
        <v>-80850</v>
      </c>
      <c r="H44" s="67">
        <f t="shared" si="12"/>
        <v>-99950</v>
      </c>
      <c r="I44" s="67">
        <f t="shared" si="12"/>
        <v>-99950</v>
      </c>
      <c r="J44" s="67">
        <f t="shared" si="12"/>
        <v>-123200</v>
      </c>
      <c r="K44" s="67">
        <f t="shared" si="12"/>
        <v>-99950</v>
      </c>
      <c r="L44" s="67">
        <f t="shared" si="12"/>
        <v>-99950</v>
      </c>
      <c r="M44" s="67">
        <f t="shared" si="12"/>
        <v>-123200</v>
      </c>
      <c r="N44" s="68">
        <f t="shared" si="12"/>
        <v>-101950</v>
      </c>
    </row>
    <row r="45" spans="2:14" x14ac:dyDescent="0.2">
      <c r="B45" s="54"/>
      <c r="C45" s="63"/>
      <c r="D45" s="63"/>
      <c r="E45" s="63"/>
      <c r="F45" s="69"/>
      <c r="G45" s="69"/>
      <c r="H45" s="69"/>
      <c r="I45" s="69"/>
      <c r="J45" s="69"/>
      <c r="K45" s="69"/>
      <c r="L45" s="69"/>
      <c r="M45" s="69"/>
      <c r="N45" s="70"/>
    </row>
    <row r="46" spans="2:14" s="39" customFormat="1" ht="12" thickBot="1" x14ac:dyDescent="0.25">
      <c r="B46" s="71" t="s">
        <v>93</v>
      </c>
      <c r="C46" s="72">
        <f t="shared" ref="C46:N46" si="13">C24+C31+C44</f>
        <v>-14650</v>
      </c>
      <c r="D46" s="72">
        <f t="shared" si="13"/>
        <v>-44300</v>
      </c>
      <c r="E46" s="72">
        <f t="shared" si="13"/>
        <v>-80550</v>
      </c>
      <c r="F46" s="73">
        <f t="shared" si="13"/>
        <v>-60500</v>
      </c>
      <c r="G46" s="73">
        <f t="shared" si="13"/>
        <v>-21350</v>
      </c>
      <c r="H46" s="73">
        <f t="shared" si="13"/>
        <v>-1300</v>
      </c>
      <c r="I46" s="73">
        <f t="shared" si="13"/>
        <v>18750</v>
      </c>
      <c r="J46" s="73">
        <f t="shared" si="13"/>
        <v>15550</v>
      </c>
      <c r="K46" s="73">
        <f t="shared" si="13"/>
        <v>35600</v>
      </c>
      <c r="L46" s="73">
        <f t="shared" si="13"/>
        <v>55650</v>
      </c>
      <c r="M46" s="73">
        <f t="shared" si="13"/>
        <v>52450</v>
      </c>
      <c r="N46" s="74">
        <f t="shared" si="13"/>
        <v>70500</v>
      </c>
    </row>
    <row r="47" spans="2:14" s="83" customFormat="1" x14ac:dyDescent="0.2">
      <c r="B47" s="81"/>
      <c r="C47" s="82"/>
      <c r="D47" s="82"/>
      <c r="E47" s="82"/>
      <c r="F47" s="82"/>
      <c r="G47" s="82"/>
      <c r="H47" s="82"/>
      <c r="I47" s="82"/>
      <c r="J47" s="82"/>
      <c r="K47" s="82"/>
      <c r="L47" s="82"/>
      <c r="M47" s="82"/>
      <c r="N47" s="82"/>
    </row>
    <row r="48" spans="2:14" s="85" customFormat="1" x14ac:dyDescent="0.2">
      <c r="B48" s="84">
        <f>EOMONTH(C48,-1)</f>
        <v>43921</v>
      </c>
      <c r="C48" s="84">
        <f t="shared" ref="C48:N48" si="14">C23</f>
        <v>43951</v>
      </c>
      <c r="D48" s="84">
        <f t="shared" si="14"/>
        <v>43982</v>
      </c>
      <c r="E48" s="84">
        <f t="shared" si="14"/>
        <v>44012</v>
      </c>
      <c r="F48" s="84">
        <f t="shared" si="14"/>
        <v>44043</v>
      </c>
      <c r="G48" s="84">
        <f t="shared" si="14"/>
        <v>44074</v>
      </c>
      <c r="H48" s="84">
        <f t="shared" si="14"/>
        <v>44104</v>
      </c>
      <c r="I48" s="84">
        <f t="shared" si="14"/>
        <v>44135</v>
      </c>
      <c r="J48" s="84">
        <f t="shared" si="14"/>
        <v>44165</v>
      </c>
      <c r="K48" s="84">
        <f t="shared" si="14"/>
        <v>44196</v>
      </c>
      <c r="L48" s="84">
        <f t="shared" si="14"/>
        <v>44227</v>
      </c>
      <c r="M48" s="84">
        <f t="shared" si="14"/>
        <v>44255</v>
      </c>
      <c r="N48" s="84">
        <f t="shared" si="14"/>
        <v>44286</v>
      </c>
    </row>
    <row r="49" spans="2:15" s="85" customFormat="1" x14ac:dyDescent="0.2">
      <c r="B49" s="86">
        <f>Inputs!C128</f>
        <v>35000</v>
      </c>
      <c r="C49" s="86">
        <f>C46</f>
        <v>-14650</v>
      </c>
      <c r="D49" s="86">
        <f t="shared" ref="D49:N49" si="15">D46</f>
        <v>-44300</v>
      </c>
      <c r="E49" s="86">
        <f t="shared" si="15"/>
        <v>-80550</v>
      </c>
      <c r="F49" s="86">
        <f t="shared" si="15"/>
        <v>-60500</v>
      </c>
      <c r="G49" s="86">
        <f t="shared" si="15"/>
        <v>-21350</v>
      </c>
      <c r="H49" s="86">
        <f t="shared" si="15"/>
        <v>-1300</v>
      </c>
      <c r="I49" s="86">
        <f t="shared" si="15"/>
        <v>18750</v>
      </c>
      <c r="J49" s="86">
        <f t="shared" si="15"/>
        <v>15550</v>
      </c>
      <c r="K49" s="86">
        <f t="shared" si="15"/>
        <v>35600</v>
      </c>
      <c r="L49" s="86">
        <f t="shared" si="15"/>
        <v>55650</v>
      </c>
      <c r="M49" s="86">
        <f t="shared" si="15"/>
        <v>52450</v>
      </c>
      <c r="N49" s="86">
        <f t="shared" si="15"/>
        <v>70500</v>
      </c>
    </row>
    <row r="50" spans="2:15" ht="12" thickBot="1" x14ac:dyDescent="0.25">
      <c r="C50" s="75"/>
      <c r="D50" s="75"/>
      <c r="E50" s="75"/>
      <c r="F50" s="75"/>
      <c r="G50" s="75"/>
      <c r="H50" s="75"/>
      <c r="I50" s="75"/>
      <c r="J50" s="75"/>
      <c r="K50" s="75"/>
      <c r="L50" s="75"/>
      <c r="M50" s="75"/>
      <c r="N50" s="75"/>
    </row>
    <row r="51" spans="2:15" x14ac:dyDescent="0.2">
      <c r="B51" s="76" t="s">
        <v>108</v>
      </c>
      <c r="C51" s="77">
        <f>MIN(C46:N46)</f>
        <v>-80550</v>
      </c>
      <c r="D51" s="75"/>
      <c r="E51" s="75"/>
      <c r="F51" s="75"/>
      <c r="G51" s="75"/>
      <c r="H51" s="75"/>
      <c r="I51" s="75"/>
      <c r="J51" s="75"/>
      <c r="K51" s="75"/>
      <c r="L51" s="75"/>
      <c r="M51" s="75"/>
      <c r="N51" s="75"/>
    </row>
    <row r="52" spans="2:15" ht="12" thickBot="1" x14ac:dyDescent="0.25">
      <c r="B52" s="78" t="s">
        <v>107</v>
      </c>
      <c r="C52" s="79">
        <f>HLOOKUP(C51,$C$46:$N$48,3,0)</f>
        <v>44012</v>
      </c>
      <c r="D52" s="75"/>
      <c r="E52" s="75"/>
      <c r="F52" s="75"/>
      <c r="G52" s="75"/>
      <c r="H52" s="75"/>
      <c r="I52" s="75"/>
      <c r="J52" s="75"/>
      <c r="K52" s="75"/>
      <c r="L52" s="75"/>
      <c r="M52" s="75"/>
      <c r="N52" s="75"/>
    </row>
    <row r="53" spans="2:15" x14ac:dyDescent="0.2">
      <c r="C53" s="75"/>
      <c r="D53" s="75"/>
      <c r="E53" s="75"/>
      <c r="F53" s="75"/>
      <c r="G53" s="75"/>
      <c r="H53" s="75"/>
      <c r="I53" s="75"/>
      <c r="J53" s="75"/>
      <c r="K53" s="75"/>
      <c r="L53" s="75"/>
      <c r="M53" s="75"/>
      <c r="N53" s="75"/>
    </row>
    <row r="54" spans="2:15" hidden="1" x14ac:dyDescent="0.2">
      <c r="C54" s="75"/>
      <c r="D54" s="75"/>
      <c r="E54" s="75"/>
      <c r="F54" s="75"/>
      <c r="G54" s="75"/>
      <c r="H54" s="75"/>
      <c r="I54" s="75"/>
      <c r="J54" s="75"/>
      <c r="K54" s="75"/>
      <c r="L54" s="75"/>
      <c r="M54" s="75"/>
      <c r="N54" s="75"/>
    </row>
    <row r="55" spans="2:15" hidden="1" x14ac:dyDescent="0.2">
      <c r="B55" s="37" t="s">
        <v>85</v>
      </c>
      <c r="C55" s="22">
        <f>C23</f>
        <v>43951</v>
      </c>
      <c r="D55" s="22">
        <f>EOMONTH(C55,1)</f>
        <v>43982</v>
      </c>
      <c r="E55" s="22">
        <f t="shared" ref="E55:N55" si="16">EOMONTH(D55,1)</f>
        <v>44012</v>
      </c>
      <c r="F55" s="22">
        <f t="shared" si="16"/>
        <v>44043</v>
      </c>
      <c r="G55" s="22">
        <f t="shared" si="16"/>
        <v>44074</v>
      </c>
      <c r="H55" s="22">
        <f t="shared" si="16"/>
        <v>44104</v>
      </c>
      <c r="I55" s="22">
        <f t="shared" si="16"/>
        <v>44135</v>
      </c>
      <c r="J55" s="22">
        <f t="shared" si="16"/>
        <v>44165</v>
      </c>
      <c r="K55" s="22">
        <f t="shared" si="16"/>
        <v>44196</v>
      </c>
      <c r="L55" s="22">
        <f t="shared" si="16"/>
        <v>44227</v>
      </c>
      <c r="M55" s="22">
        <f t="shared" si="16"/>
        <v>44255</v>
      </c>
      <c r="N55" s="22">
        <f t="shared" si="16"/>
        <v>44286</v>
      </c>
    </row>
    <row r="56" spans="2:15" hidden="1" x14ac:dyDescent="0.2">
      <c r="B56" s="1" t="s">
        <v>92</v>
      </c>
      <c r="C56" s="24">
        <f>Inputs!C124</f>
        <v>2000</v>
      </c>
      <c r="D56" s="24">
        <f>C60</f>
        <v>-5200</v>
      </c>
      <c r="E56" s="24">
        <f t="shared" ref="E56:N56" si="17">D60</f>
        <v>-12000</v>
      </c>
      <c r="F56" s="24">
        <f t="shared" si="17"/>
        <v>-19100</v>
      </c>
      <c r="G56" s="24">
        <f t="shared" si="17"/>
        <v>-11350</v>
      </c>
      <c r="H56" s="24">
        <f t="shared" si="17"/>
        <v>15500</v>
      </c>
      <c r="I56" s="24">
        <f t="shared" si="17"/>
        <v>23250</v>
      </c>
      <c r="J56" s="24">
        <f t="shared" si="17"/>
        <v>31000</v>
      </c>
      <c r="K56" s="24">
        <f t="shared" si="17"/>
        <v>15500</v>
      </c>
      <c r="L56" s="24">
        <f t="shared" si="17"/>
        <v>23250</v>
      </c>
      <c r="M56" s="24">
        <f t="shared" si="17"/>
        <v>31000</v>
      </c>
      <c r="N56" s="24">
        <f t="shared" si="17"/>
        <v>15500</v>
      </c>
    </row>
    <row r="57" spans="2:15" hidden="1" x14ac:dyDescent="0.2">
      <c r="B57" s="1" t="s">
        <v>86</v>
      </c>
      <c r="C57" s="24">
        <f t="shared" ref="C57:N57" si="18">C27/120%*20%</f>
        <v>1000</v>
      </c>
      <c r="D57" s="24">
        <f t="shared" si="18"/>
        <v>2000</v>
      </c>
      <c r="E57" s="24">
        <f t="shared" si="18"/>
        <v>1000</v>
      </c>
      <c r="F57" s="24">
        <f t="shared" si="18"/>
        <v>20000</v>
      </c>
      <c r="G57" s="24">
        <f t="shared" si="18"/>
        <v>20000</v>
      </c>
      <c r="H57" s="24">
        <f t="shared" si="18"/>
        <v>20000</v>
      </c>
      <c r="I57" s="24">
        <f t="shared" si="18"/>
        <v>20000</v>
      </c>
      <c r="J57" s="24">
        <f t="shared" si="18"/>
        <v>20000</v>
      </c>
      <c r="K57" s="24">
        <f t="shared" si="18"/>
        <v>20000</v>
      </c>
      <c r="L57" s="24">
        <f t="shared" si="18"/>
        <v>20000</v>
      </c>
      <c r="M57" s="24">
        <f t="shared" si="18"/>
        <v>20000</v>
      </c>
      <c r="N57" s="24">
        <f t="shared" si="18"/>
        <v>20000</v>
      </c>
    </row>
    <row r="58" spans="2:15" hidden="1" x14ac:dyDescent="0.2">
      <c r="B58" s="1" t="s">
        <v>90</v>
      </c>
      <c r="C58" s="24">
        <f>SUM(C34,C36:C38,C42)/120%*20%</f>
        <v>-8200</v>
      </c>
      <c r="D58" s="24">
        <f t="shared" ref="D58:N58" si="19">SUM(D34,D36:D38,D42)/120%*20%</f>
        <v>-6800</v>
      </c>
      <c r="E58" s="24">
        <f t="shared" si="19"/>
        <v>-8100</v>
      </c>
      <c r="F58" s="24">
        <f t="shared" si="19"/>
        <v>-12250</v>
      </c>
      <c r="G58" s="24">
        <f t="shared" si="19"/>
        <v>-12250</v>
      </c>
      <c r="H58" s="24">
        <f t="shared" si="19"/>
        <v>-12250</v>
      </c>
      <c r="I58" s="24">
        <f t="shared" si="19"/>
        <v>-12250</v>
      </c>
      <c r="J58" s="24">
        <f t="shared" si="19"/>
        <v>-12250</v>
      </c>
      <c r="K58" s="24">
        <f t="shared" si="19"/>
        <v>-12250</v>
      </c>
      <c r="L58" s="24">
        <f t="shared" si="19"/>
        <v>-12250</v>
      </c>
      <c r="M58" s="24">
        <f t="shared" si="19"/>
        <v>-12250</v>
      </c>
      <c r="N58" s="24">
        <f t="shared" si="19"/>
        <v>-12250</v>
      </c>
    </row>
    <row r="59" spans="2:15" hidden="1" x14ac:dyDescent="0.2">
      <c r="B59" s="1" t="s">
        <v>94</v>
      </c>
      <c r="C59" s="24">
        <f>-Inputs!C85</f>
        <v>0</v>
      </c>
      <c r="D59" s="24">
        <f>IF(Inputs!$C$83="Monthly",-SUM('Cash Flow'!C57:C58),(-IF(E62=1,C56,0)))</f>
        <v>-2000</v>
      </c>
      <c r="E59" s="24">
        <f>IF(Inputs!$C$83="Monthly",-SUM('Cash Flow'!D57:D58),(-IF(F62=1,D56,0)))</f>
        <v>0</v>
      </c>
      <c r="F59" s="24">
        <f>IF(Inputs!$C$83="Monthly",-SUM('Cash Flow'!E57:E58),(-IF(G62=1,E56,0)))</f>
        <v>0</v>
      </c>
      <c r="G59" s="24">
        <f>IF(Inputs!$C$83="Monthly",-SUM('Cash Flow'!F57:F58),(-IF(H62=1,F56,0)))</f>
        <v>19100</v>
      </c>
      <c r="H59" s="24">
        <f>IF(Inputs!$C$83="Monthly",-SUM('Cash Flow'!G57:G58),(-IF(I62=1,G56,0)))</f>
        <v>0</v>
      </c>
      <c r="I59" s="24">
        <f>IF(Inputs!$C$83="Monthly",-SUM('Cash Flow'!H57:H58),(-IF(J62=1,H56,0)))</f>
        <v>0</v>
      </c>
      <c r="J59" s="24">
        <f>IF(Inputs!$C$83="Monthly",-SUM('Cash Flow'!I57:I58),(-IF(K62=1,I56,0)))</f>
        <v>-23250</v>
      </c>
      <c r="K59" s="24">
        <f>IF(Inputs!$C$83="Monthly",-SUM('Cash Flow'!J57:J58),(-IF(L62=1,J56,0)))</f>
        <v>0</v>
      </c>
      <c r="L59" s="24">
        <f>IF(Inputs!$C$83="Monthly",-SUM('Cash Flow'!K57:K58),(-IF(M62=1,K56,0)))</f>
        <v>0</v>
      </c>
      <c r="M59" s="24">
        <f>IF(Inputs!$C$83="Monthly",-SUM('Cash Flow'!L57:L58),(-IF(N62=1,L56,0)))</f>
        <v>-23250</v>
      </c>
      <c r="N59" s="24">
        <f>IF(Inputs!$C$83="Monthly",-SUM('Cash Flow'!M57:M58),(-IF(O62=1,M56,0)))</f>
        <v>0</v>
      </c>
    </row>
    <row r="60" spans="2:15" s="39" customFormat="1" hidden="1" x14ac:dyDescent="0.2">
      <c r="B60" s="37" t="s">
        <v>91</v>
      </c>
      <c r="C60" s="80">
        <f t="shared" ref="C60:N60" si="20">SUM(C56:C59)</f>
        <v>-5200</v>
      </c>
      <c r="D60" s="80">
        <f t="shared" si="20"/>
        <v>-12000</v>
      </c>
      <c r="E60" s="80">
        <f t="shared" si="20"/>
        <v>-19100</v>
      </c>
      <c r="F60" s="80">
        <f t="shared" si="20"/>
        <v>-11350</v>
      </c>
      <c r="G60" s="80">
        <f t="shared" si="20"/>
        <v>15500</v>
      </c>
      <c r="H60" s="80">
        <f t="shared" si="20"/>
        <v>23250</v>
      </c>
      <c r="I60" s="80">
        <f t="shared" si="20"/>
        <v>31000</v>
      </c>
      <c r="J60" s="80">
        <f t="shared" si="20"/>
        <v>15500</v>
      </c>
      <c r="K60" s="80">
        <f t="shared" si="20"/>
        <v>23250</v>
      </c>
      <c r="L60" s="80">
        <f t="shared" si="20"/>
        <v>31000</v>
      </c>
      <c r="M60" s="80">
        <f t="shared" si="20"/>
        <v>15500</v>
      </c>
      <c r="N60" s="80">
        <f t="shared" si="20"/>
        <v>23250</v>
      </c>
    </row>
    <row r="61" spans="2:15" hidden="1" x14ac:dyDescent="0.2"/>
    <row r="62" spans="2:15" hidden="1" x14ac:dyDescent="0.2">
      <c r="B62" s="3" t="s">
        <v>97</v>
      </c>
      <c r="C62" s="3">
        <f>Inputs!C99</f>
        <v>2</v>
      </c>
      <c r="D62" s="3">
        <f>IF(Inputs!$C$83="Monthly",1,IF(C62=3,1,C62+1))</f>
        <v>3</v>
      </c>
      <c r="E62" s="3">
        <f>IF(Inputs!$C$83="Monthly",1,IF(D62=3,1,D62+1))</f>
        <v>1</v>
      </c>
      <c r="F62" s="3">
        <f>IF(Inputs!$C$83="Monthly",1,IF(E62=3,1,E62+1))</f>
        <v>2</v>
      </c>
      <c r="G62" s="3">
        <f>IF(Inputs!$C$83="Monthly",1,IF(F62=3,1,F62+1))</f>
        <v>3</v>
      </c>
      <c r="H62" s="3">
        <f>IF(Inputs!$C$83="Monthly",1,IF(G62=3,1,G62+1))</f>
        <v>1</v>
      </c>
      <c r="I62" s="3">
        <f>IF(Inputs!$C$83="Monthly",1,IF(H62=3,1,H62+1))</f>
        <v>2</v>
      </c>
      <c r="J62" s="3">
        <f>IF(Inputs!$C$83="Monthly",1,IF(I62=3,1,I62+1))</f>
        <v>3</v>
      </c>
      <c r="K62" s="3">
        <f>IF(Inputs!$C$83="Monthly",1,IF(J62=3,1,J62+1))</f>
        <v>1</v>
      </c>
      <c r="L62" s="3">
        <f>IF(Inputs!$C$83="Monthly",1,IF(K62=3,1,K62+1))</f>
        <v>2</v>
      </c>
      <c r="M62" s="3">
        <f>IF(Inputs!$C$83="Monthly",1,IF(L62=3,1,L62+1))</f>
        <v>3</v>
      </c>
      <c r="N62" s="3">
        <f>IF(Inputs!$C$83="Monthly",1,IF(M62=3,1,M62+1))</f>
        <v>1</v>
      </c>
      <c r="O62" s="3">
        <f>IF(Inputs!$C$83="Monthly",1,IF(N62=3,1,N62+1))</f>
        <v>2</v>
      </c>
    </row>
    <row r="63" spans="2:15" hidden="1" x14ac:dyDescent="0.2"/>
    <row r="64" spans="2:15" hidden="1" x14ac:dyDescent="0.2"/>
    <row r="65" hidden="1" x14ac:dyDescent="0.2"/>
  </sheetData>
  <sheetProtection algorithmName="SHA-512" hashValue="35zDUhCMKciHSQ32TTgfKCJELMcTbK/1neXzbXfc+f5faSme30QEiK+earFD+PlZs5KQOVL13mRSK2QRPCrSHQ==" saltValue="0MqxdhkIXJrC4YPAYrvieA==" spinCount="100000" sheet="1" objects="1" scenarios="1"/>
  <pageMargins left="0.7" right="0.7" top="0.75" bottom="0.75" header="0.3" footer="0.3"/>
  <pageSetup paperSize="9" scale="86" orientation="landscape" verticalDpi="0" r:id="rId1"/>
  <ignoredErrors>
    <ignoredError sqref="A35:XFD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Inputs</vt: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FPM-HSD-CTXGOLD$</dc:creator>
  <cp:lastModifiedBy>Emma Meikle</cp:lastModifiedBy>
  <cp:lastPrinted>2020-03-30T15:23:18Z</cp:lastPrinted>
  <dcterms:created xsi:type="dcterms:W3CDTF">2020-03-30T09:23:44Z</dcterms:created>
  <dcterms:modified xsi:type="dcterms:W3CDTF">2020-04-01T07:11:49Z</dcterms:modified>
</cp:coreProperties>
</file>